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ocuments\PROYECTO\"/>
    </mc:Choice>
  </mc:AlternateContent>
  <xr:revisionPtr revIDLastSave="0" documentId="13_ncr:1_{00DA24D9-01B7-49FB-8920-87EF2E884492}" xr6:coauthVersionLast="43" xr6:coauthVersionMax="43" xr10:uidLastSave="{00000000-0000-0000-0000-000000000000}"/>
  <bookViews>
    <workbookView xWindow="-120" yWindow="-120" windowWidth="20730" windowHeight="11160" activeTab="4" xr2:uid="{37A5D600-FD81-4AAF-84AA-47235D7785DF}"/>
  </bookViews>
  <sheets>
    <sheet name="BALANCE" sheetId="5" r:id="rId1"/>
    <sheet name="DATOS" sheetId="1" r:id="rId2"/>
    <sheet name="INGRESOS" sheetId="2" r:id="rId3"/>
    <sheet name="GASTOS" sheetId="3" r:id="rId4"/>
    <sheet name="USALI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5" l="1"/>
  <c r="D43" i="5"/>
  <c r="B19" i="4" l="1"/>
  <c r="B16" i="4"/>
  <c r="D43" i="3"/>
  <c r="D42" i="3"/>
  <c r="D35" i="3"/>
  <c r="D34" i="3"/>
  <c r="D27" i="3"/>
  <c r="D26" i="3"/>
  <c r="C27" i="3"/>
  <c r="C26" i="3"/>
  <c r="D35" i="2"/>
  <c r="D34" i="2"/>
  <c r="C35" i="2"/>
  <c r="C34" i="2"/>
  <c r="D27" i="2"/>
  <c r="D26" i="2"/>
  <c r="C27" i="2"/>
  <c r="C26" i="2"/>
  <c r="D20" i="2"/>
  <c r="D19" i="2"/>
  <c r="C20" i="2"/>
  <c r="C19" i="2"/>
  <c r="B23" i="4" l="1"/>
  <c r="B21" i="4" l="1"/>
  <c r="F9" i="5" l="1"/>
  <c r="F14" i="5"/>
  <c r="F18" i="5"/>
  <c r="D25" i="5" s="1"/>
  <c r="L20" i="5"/>
  <c r="L2" i="5" s="1"/>
  <c r="D29" i="5"/>
  <c r="D39" i="5"/>
  <c r="D35" i="5"/>
  <c r="O37" i="5"/>
  <c r="D41" i="5"/>
  <c r="D47" i="5"/>
  <c r="F19" i="5" l="1"/>
  <c r="L4" i="5"/>
  <c r="F20" i="5"/>
  <c r="D45" i="5" s="1"/>
  <c r="L10" i="5"/>
  <c r="O36" i="5"/>
  <c r="D31" i="5"/>
  <c r="D27" i="5"/>
  <c r="F2" i="5" l="1"/>
  <c r="F10" i="5"/>
  <c r="G44" i="1"/>
  <c r="B33" i="4" s="1"/>
  <c r="B32" i="4"/>
  <c r="B59" i="1"/>
  <c r="B58" i="1"/>
  <c r="B67" i="1"/>
  <c r="B65" i="1"/>
  <c r="B64" i="1"/>
  <c r="B63" i="1"/>
  <c r="B38" i="4" s="1"/>
  <c r="B40" i="4" s="1"/>
  <c r="B62" i="1"/>
  <c r="B22" i="4" s="1"/>
  <c r="B61" i="1"/>
  <c r="B57" i="1"/>
  <c r="B31" i="4" s="1"/>
  <c r="D48" i="3"/>
  <c r="F27" i="3"/>
  <c r="F26" i="3"/>
  <c r="C7" i="3"/>
  <c r="B49" i="1"/>
  <c r="C47" i="1"/>
  <c r="B47" i="1"/>
  <c r="C46" i="1"/>
  <c r="B46" i="1"/>
  <c r="B45" i="1"/>
  <c r="C44" i="1"/>
  <c r="B44" i="1"/>
  <c r="B17" i="4" l="1"/>
  <c r="B54" i="3"/>
  <c r="B25" i="4"/>
  <c r="B26" i="4" s="1"/>
  <c r="C9" i="3"/>
  <c r="C10" i="3"/>
  <c r="F28" i="3"/>
  <c r="B35" i="4"/>
  <c r="B35" i="2" l="1"/>
  <c r="B34" i="2"/>
  <c r="B27" i="2"/>
  <c r="B26" i="2"/>
  <c r="B13" i="1"/>
  <c r="B3" i="4" s="1"/>
  <c r="E11" i="1"/>
  <c r="C10" i="2" s="1"/>
  <c r="E10" i="1"/>
  <c r="C9" i="2" s="1"/>
  <c r="J19" i="1" l="1"/>
  <c r="D25" i="1" s="1"/>
  <c r="B5" i="4" l="1"/>
  <c r="B6" i="3"/>
  <c r="D6" i="3" s="1"/>
  <c r="E6" i="3" s="1"/>
  <c r="F6" i="3" s="1"/>
  <c r="C20" i="3" s="1"/>
  <c r="E20" i="3" s="1"/>
  <c r="B5" i="3"/>
  <c r="D5" i="3" s="1"/>
  <c r="F20" i="2"/>
  <c r="F19" i="2"/>
  <c r="B6" i="2"/>
  <c r="B5" i="2"/>
  <c r="E5" i="3" l="1"/>
  <c r="E7" i="3" s="1"/>
  <c r="D7" i="3"/>
  <c r="G6" i="3"/>
  <c r="B10" i="3"/>
  <c r="D10" i="3" s="1"/>
  <c r="F5" i="3"/>
  <c r="C19" i="3" s="1"/>
  <c r="E19" i="3" s="1"/>
  <c r="E21" i="3" s="1"/>
  <c r="F34" i="2"/>
  <c r="C42" i="3"/>
  <c r="F42" i="3" s="1"/>
  <c r="F21" i="2"/>
  <c r="F27" i="2"/>
  <c r="C35" i="3"/>
  <c r="F35" i="3" s="1"/>
  <c r="F26" i="2"/>
  <c r="C34" i="3"/>
  <c r="F34" i="3" s="1"/>
  <c r="F35" i="2"/>
  <c r="C43" i="3"/>
  <c r="F43" i="3" s="1"/>
  <c r="D6" i="2"/>
  <c r="E6" i="2" s="1"/>
  <c r="F6" i="2" s="1"/>
  <c r="C7" i="2"/>
  <c r="D5" i="2"/>
  <c r="G6" i="2" l="1"/>
  <c r="E5" i="2"/>
  <c r="F5" i="2" s="1"/>
  <c r="D7" i="2"/>
  <c r="F36" i="3"/>
  <c r="B9" i="3"/>
  <c r="F7" i="3"/>
  <c r="G5" i="3"/>
  <c r="G7" i="3" s="1"/>
  <c r="F28" i="2"/>
  <c r="F44" i="3"/>
  <c r="F36" i="2"/>
  <c r="F7" i="2"/>
  <c r="B4" i="4" s="1"/>
  <c r="B10" i="2"/>
  <c r="D10" i="2" s="1"/>
  <c r="E7" i="2" l="1"/>
  <c r="G5" i="2"/>
  <c r="G7" i="2" s="1"/>
  <c r="B44" i="2" s="1"/>
  <c r="B13" i="4"/>
  <c r="B11" i="3"/>
  <c r="D9" i="3"/>
  <c r="D11" i="3" s="1"/>
  <c r="B9" i="2"/>
  <c r="B11" i="2" s="1"/>
  <c r="B18" i="4" l="1"/>
  <c r="D9" i="2"/>
  <c r="D11" i="2" s="1"/>
  <c r="B45" i="2" s="1"/>
  <c r="B12" i="4" l="1"/>
  <c r="B14" i="4" s="1"/>
  <c r="B8" i="4"/>
  <c r="B6" i="4"/>
  <c r="B7" i="4"/>
  <c r="B9" i="4" l="1"/>
  <c r="B27" i="4"/>
  <c r="B30" i="4" s="1"/>
  <c r="B36" i="4" s="1"/>
  <c r="B37" i="4" s="1"/>
  <c r="B41" i="4" s="1"/>
  <c r="B42" i="4" s="1"/>
  <c r="B43" i="4" s="1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</author>
  </authors>
  <commentList>
    <comment ref="A25" authorId="0" shapeId="0" xr:uid="{A446EB02-3D17-4838-8BEE-F3585E396760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Dispobible/Exigible a Corto Plazo</t>
        </r>
      </text>
    </comment>
    <comment ref="D25" authorId="0" shapeId="0" xr:uid="{00C3107E-3720-40B5-B39D-BE46480CC9F9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Tengo liquidez para afrontar de forma inmediata mis deudas. </t>
        </r>
      </text>
    </comment>
    <comment ref="A27" authorId="0" shapeId="0" xr:uid="{6035B9BA-0925-40FD-9DFC-57E7FCC99242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Disponible+Realizable/Exigible a Corto plazo.</t>
        </r>
      </text>
    </comment>
    <comment ref="D27" authorId="0" shapeId="0" xr:uid="{6EE3C289-96BA-4310-83BE-062F83AA003C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Dispongo de liquidez para afrontar las deudas a corto plazo.</t>
        </r>
      </text>
    </comment>
    <comment ref="A29" authorId="0" shapeId="0" xr:uid="{2D142BE6-9124-45B4-B771-EE04C8469230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Disponible+Realizable+Existencias/Exigible a Corto Plazo.</t>
        </r>
      </text>
    </comment>
    <comment ref="D29" authorId="0" shapeId="0" xr:uid="{FC0E488C-1C15-4222-9288-3F25832F3B65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Tengo liquidez por lo que voy a poder afrontar las deudas que contraiga a corto plazo.</t>
        </r>
      </text>
    </comment>
    <comment ref="A31" authorId="0" shapeId="0" xr:uid="{301834F2-975A-4FFC-8E10-AE14339CBCFE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Activo Corriente- Pasivo Corriente</t>
        </r>
      </text>
    </comment>
    <comment ref="D31" authorId="0" shapeId="0" xr:uid="{0257839D-D757-4BF2-B9A1-86A2F464017F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Situación de estabilidad financiera.</t>
        </r>
      </text>
    </comment>
    <comment ref="A35" authorId="0" shapeId="0" xr:uid="{58AADBF0-D71F-4B13-BF3C-B678EF4A804A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Exigible Total/ Total Patrimonio Neto y Pasivo</t>
        </r>
      </text>
    </comment>
    <comment ref="D35" authorId="0" shapeId="0" xr:uid="{D9CBDB1E-C81D-433C-BA4D-9994BD3A04B6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La empresa tiene una estructura financiera arriesgada ya que el 85% de mi estructura son deudas. </t>
        </r>
      </text>
    </comment>
    <comment ref="N35" authorId="0" shapeId="0" xr:uid="{97C250DA-6566-4B82-9D92-2CD3CA07305A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Estabilidad financiera normal.</t>
        </r>
      </text>
    </comment>
    <comment ref="A37" authorId="0" shapeId="0" xr:uid="{54DA9E87-D6B8-422B-A6F1-D9D178ED1513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Exigible Total / Fondos Propios</t>
        </r>
      </text>
    </comment>
    <comment ref="D37" authorId="0" shapeId="0" xr:uid="{D2EADD60-0918-4ED0-B35F-8A8FA663ED8E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Tenemos un exceso de endeudamiento ya que nuestras deudas superan nuestros fondos propios y estoy perdiendo autonomía financiera frente a terceros. 
Por cada 1€ de fondos propios 5,58€ son deuda.
</t>
        </r>
      </text>
    </comment>
    <comment ref="A39" authorId="0" shapeId="0" xr:uid="{181B164E-C91F-4CA4-AAB7-C88B72732DC0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Exigible L/P / Fondos Propios</t>
        </r>
      </text>
    </comment>
    <comment ref="D39" authorId="0" shapeId="0" xr:uid="{8D8CA2F5-4DC3-493C-875F-87AACA357B94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La escasez de fondos propios hace que tenga una dependencia casi total de mi acreedor, tengo escasa autonomía financiera. 
</t>
        </r>
      </text>
    </comment>
    <comment ref="A41" authorId="0" shapeId="0" xr:uid="{3A6201CE-6767-4A77-9288-4B039F58592C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Exigible Corto Plazo / Fondos Propios</t>
        </r>
      </text>
    </comment>
    <comment ref="D41" authorId="0" shapeId="0" xr:uid="{D2EBF00A-4B8F-4717-A7B6-182E40A1A038}">
      <text>
        <r>
          <rPr>
            <b/>
            <sz val="9"/>
            <color indexed="81"/>
            <rFont val="Tahoma"/>
            <charset val="1"/>
          </rPr>
          <t>May:</t>
        </r>
        <r>
          <rPr>
            <sz val="9"/>
            <color indexed="81"/>
            <rFont val="Tahoma"/>
            <charset val="1"/>
          </rPr>
          <t xml:space="preserve">
Tengo liquidez para hacer frente a las deudas que se vayan produciendo, por lo tanto menor es el riesgo financiero. Por cada 1€ de fondos propios 0,04 centimos son deuda. </t>
        </r>
      </text>
    </comment>
    <comment ref="A43" authorId="0" shapeId="0" xr:uid="{862215FD-7362-4CB0-8EFE-8F33E6172653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Fondos Propios / Exigible Total </t>
        </r>
      </text>
    </comment>
    <comment ref="D43" authorId="0" shapeId="0" xr:uid="{A9B6B05D-238A-4197-93FB-7CFA0190201D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Con nuestros fondos propios podríamos afrontar las deudas solo un 15%.</t>
        </r>
      </text>
    </comment>
    <comment ref="A45" authorId="0" shapeId="0" xr:uid="{2E857117-D9D8-41CC-8158-C62DEDD04D66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Activo/Exigible Total </t>
        </r>
      </text>
    </comment>
    <comment ref="D45" authorId="0" shapeId="0" xr:uid="{49AAB1CB-308B-4037-96FD-0F746613C545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Tengo buena garantía ya que con mi activo puedo cubrir mi pasivo. </t>
        </r>
      </text>
    </comment>
    <comment ref="A47" authorId="0" shapeId="0" xr:uid="{6A2D9010-26EE-4C02-A17F-E6E04006BA25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Exigible a Corto Plazo / Exigible Total</t>
        </r>
      </text>
    </comment>
    <comment ref="D47" authorId="0" shapeId="0" xr:uid="{77982F0A-1BF9-4F4C-BB4C-9C1EBDA9C698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Tengo una buena calidad de la deuda ya que la mayoría de la deuda es a L/P.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</author>
  </authors>
  <commentList>
    <comment ref="G24" authorId="0" shapeId="0" xr:uid="{031D009F-78FA-4D9D-813C-A8304CEAFEC8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El desayuno va incluido en todo momento en la tarifa. </t>
        </r>
      </text>
    </comment>
    <comment ref="I42" authorId="0" shapeId="0" xr:uid="{36EB36B4-0BF7-4D0C-BAF3-7878C0AB3C5B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Este promedio lo hemos calculado en la gestión de precios.</t>
        </r>
      </text>
    </comment>
    <comment ref="F52" authorId="0" shapeId="0" xr:uid="{78EA89EF-141B-41BC-9822-A8FDD14B84B4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El 80% de nuestros alojados en doble han reservado mediante Otas.</t>
        </r>
      </text>
    </comment>
    <comment ref="F53" authorId="0" shapeId="0" xr:uid="{D394572E-0046-4EF9-BFBD-44D5FCFFFE77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El 70% de nuestros clientes en DUI han reservado mediante Otas.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</author>
  </authors>
  <commentList>
    <comment ref="D11" authorId="0" shapeId="0" xr:uid="{E8F3402C-B0AA-4D17-A679-ED0F220D2B03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Total ingresos anuales que provienen de la venta de las habitaciones.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</author>
  </authors>
  <commentList>
    <comment ref="B24" authorId="0" shapeId="0" xr:uid="{B011D28D-92DE-47DB-8913-9CA480B2A980}">
      <text>
        <r>
          <rPr>
            <b/>
            <sz val="9"/>
            <color indexed="81"/>
            <rFont val="Tahoma"/>
            <family val="2"/>
          </rPr>
          <t>May:</t>
        </r>
        <r>
          <rPr>
            <sz val="9"/>
            <color indexed="81"/>
            <rFont val="Tahoma"/>
            <family val="2"/>
          </rPr>
          <t xml:space="preserve">
No cuento con gasto de personal ni externo para este departamento. Mi pareja es la encargada de las reparaciones de la vivienda y mantenerla. Dispone de mucha experiencia en ese sector.</t>
        </r>
      </text>
    </comment>
  </commentList>
</comments>
</file>

<file path=xl/sharedStrings.xml><?xml version="1.0" encoding="utf-8"?>
<sst xmlns="http://schemas.openxmlformats.org/spreadsheetml/2006/main" count="297" uniqueCount="184">
  <si>
    <t xml:space="preserve">Ubicación </t>
  </si>
  <si>
    <t xml:space="preserve">Córdoba </t>
  </si>
  <si>
    <t>Capacidad</t>
  </si>
  <si>
    <t>AD</t>
  </si>
  <si>
    <t>DBL</t>
  </si>
  <si>
    <t xml:space="preserve">DBL </t>
  </si>
  <si>
    <t>Alojamiento</t>
  </si>
  <si>
    <t>INGRESOS</t>
  </si>
  <si>
    <t>CLIENTES PARTICULARES</t>
  </si>
  <si>
    <t xml:space="preserve">OCUPACION </t>
  </si>
  <si>
    <t>HABITACIONES</t>
  </si>
  <si>
    <t>REGIMEN ALIMENTICIO</t>
  </si>
  <si>
    <t>Particulares</t>
  </si>
  <si>
    <t>%</t>
  </si>
  <si>
    <t>PRECIO</t>
  </si>
  <si>
    <t>GASTOS</t>
  </si>
  <si>
    <t>DEPARTAMENTO</t>
  </si>
  <si>
    <t xml:space="preserve">SEGURO </t>
  </si>
  <si>
    <t xml:space="preserve">PRIMA ANUAL </t>
  </si>
  <si>
    <t xml:space="preserve">TOTAL </t>
  </si>
  <si>
    <t>CASA IKRAM</t>
  </si>
  <si>
    <t>T. ALTA</t>
  </si>
  <si>
    <t>T. BAJA</t>
  </si>
  <si>
    <t>T. MEDIA</t>
  </si>
  <si>
    <t>PROMEDIO</t>
  </si>
  <si>
    <t xml:space="preserve">Para la fijación de precios hemos establecido el metodo basado en costes.   </t>
  </si>
  <si>
    <r>
      <t>%</t>
    </r>
    <r>
      <rPr>
        <b/>
        <sz val="9"/>
        <color theme="1"/>
        <rFont val="Calibri"/>
        <family val="2"/>
        <scheme val="minor"/>
      </rPr>
      <t>Ocupación</t>
    </r>
  </si>
  <si>
    <t>Q</t>
  </si>
  <si>
    <t>HAB/DIA</t>
  </si>
  <si>
    <t xml:space="preserve">HAB/MES </t>
  </si>
  <si>
    <t>TOTAL PAX</t>
  </si>
  <si>
    <t>DB</t>
  </si>
  <si>
    <t>TOTAL</t>
  </si>
  <si>
    <t xml:space="preserve">Habitaciones </t>
  </si>
  <si>
    <t xml:space="preserve">TOTAL ALOJADOS </t>
  </si>
  <si>
    <t xml:space="preserve">LAVANDERÍA EXTERNA </t>
  </si>
  <si>
    <t>GASTO/MES</t>
  </si>
  <si>
    <t xml:space="preserve">TOTAL GASTOS </t>
  </si>
  <si>
    <t>100% DE OCUPACIÓN</t>
  </si>
  <si>
    <t>HABITACIÓN</t>
  </si>
  <si>
    <t>HAB/AÑO</t>
  </si>
  <si>
    <t>TARIFA MEDIA</t>
  </si>
  <si>
    <t>DUI</t>
  </si>
  <si>
    <t>TOTAL HAB</t>
  </si>
  <si>
    <t>OTROS INGRESOS</t>
  </si>
  <si>
    <t>AFTERNON TEA</t>
  </si>
  <si>
    <t>HONESTY BAR</t>
  </si>
  <si>
    <t>TIPO HABITACIÓN</t>
  </si>
  <si>
    <t>TIPO  HABITACIÓN</t>
  </si>
  <si>
    <t>PORCENTAJE</t>
  </si>
  <si>
    <t>PICNIC</t>
  </si>
  <si>
    <t>MENÚ</t>
  </si>
  <si>
    <t xml:space="preserve">Gastos de luz </t>
  </si>
  <si>
    <t>Agua</t>
  </si>
  <si>
    <t>Papel WC</t>
  </si>
  <si>
    <t>Cuota banco TPV unidad</t>
  </si>
  <si>
    <t>Sabanas (0,35x4)</t>
  </si>
  <si>
    <t>Fundas (0,15x2)</t>
  </si>
  <si>
    <t>Toallas (0,30x6)</t>
  </si>
  <si>
    <t>Amenities (0,40x2)</t>
  </si>
  <si>
    <t xml:space="preserve">Productos de limpieza </t>
  </si>
  <si>
    <t>Desayuno (3,31X2)</t>
  </si>
  <si>
    <t>COSTES VARIABLES UNITARIOS</t>
  </si>
  <si>
    <t>VARIABLES</t>
  </si>
  <si>
    <t>OTROS GASTOS</t>
  </si>
  <si>
    <t>COSTO</t>
  </si>
  <si>
    <t>GASTO AÑO</t>
  </si>
  <si>
    <t>MES ACTUAL U.M. %</t>
  </si>
  <si>
    <t>Habitaciones disponibles</t>
  </si>
  <si>
    <t xml:space="preserve">habitaciones vendidas </t>
  </si>
  <si>
    <t xml:space="preserve">Ocupación </t>
  </si>
  <si>
    <t>ADR</t>
  </si>
  <si>
    <t xml:space="preserve">Revpar habitaciones </t>
  </si>
  <si>
    <t xml:space="preserve">Revpor </t>
  </si>
  <si>
    <t>Trevpar</t>
  </si>
  <si>
    <t>Goppar</t>
  </si>
  <si>
    <t xml:space="preserve">INGRESOS OPERATIVOS </t>
  </si>
  <si>
    <t>Habitaciones</t>
  </si>
  <si>
    <t xml:space="preserve">Ingresos varios </t>
  </si>
  <si>
    <t>TOTAL INGRESOS OPERATIVOS</t>
  </si>
  <si>
    <t xml:space="preserve">GASTOS DEPARTAMENTALES </t>
  </si>
  <si>
    <t>TOTAL GASTOS DEPARTAMENTALES</t>
  </si>
  <si>
    <t>BENEFICIO TOTAL DEPARTAMENTAL</t>
  </si>
  <si>
    <t>GASTOS OPERATIVOS NO DISTRIBUIDOS</t>
  </si>
  <si>
    <t>Administración y general sistemas</t>
  </si>
  <si>
    <t xml:space="preserve">información y telecomunicaciones </t>
  </si>
  <si>
    <t xml:space="preserve">Ventas y marketing </t>
  </si>
  <si>
    <t xml:space="preserve">Servicios públicos </t>
  </si>
  <si>
    <t>TOTAL GASTOS NO DISTRIBUIBLES</t>
  </si>
  <si>
    <t>GROSS OPERATING PROFIT</t>
  </si>
  <si>
    <t>HONORARIOS DE GESTIÓN</t>
  </si>
  <si>
    <t xml:space="preserve">RESULTADO ANTES DE INGRESOS Y </t>
  </si>
  <si>
    <t xml:space="preserve">GASTOS NO OPERATIVOS </t>
  </si>
  <si>
    <t>Ingresos alquileres</t>
  </si>
  <si>
    <t xml:space="preserve">Impuestos y otras tasas de propiedad </t>
  </si>
  <si>
    <t>Seguros</t>
  </si>
  <si>
    <t xml:space="preserve">Otras </t>
  </si>
  <si>
    <t>TOTAL INGRESOS Y GASTOS NO OPERATIVOS</t>
  </si>
  <si>
    <t xml:space="preserve">EBITDA </t>
  </si>
  <si>
    <t>Beneficio Neto (Net Profit)</t>
  </si>
  <si>
    <t>Intereses, depreciacciones y amortizaciones</t>
  </si>
  <si>
    <t xml:space="preserve">TOTAL INTERESES, DEPRECIACIONES Y </t>
  </si>
  <si>
    <t xml:space="preserve">AMORTIZACIONES </t>
  </si>
  <si>
    <t xml:space="preserve">BENEFICIO ANTES DE IMPUESTOS </t>
  </si>
  <si>
    <t xml:space="preserve">Impuesto </t>
  </si>
  <si>
    <t>PERIODO AÑO 2018-2019</t>
  </si>
  <si>
    <t>Gastos varios</t>
  </si>
  <si>
    <t xml:space="preserve">Cuota préstamo </t>
  </si>
  <si>
    <t>Publicidad y promoción</t>
  </si>
  <si>
    <t>Material de oficina</t>
  </si>
  <si>
    <t>Internet</t>
  </si>
  <si>
    <t>Intereses Préstamo</t>
  </si>
  <si>
    <t>Gastos de móvil</t>
  </si>
  <si>
    <t xml:space="preserve">Gestoría </t>
  </si>
  <si>
    <t>Seguro Casa</t>
  </si>
  <si>
    <t xml:space="preserve">Basura </t>
  </si>
  <si>
    <t>Contribución</t>
  </si>
  <si>
    <t>Luz</t>
  </si>
  <si>
    <t xml:space="preserve">Para eleborar el presupuesto de ingresos hemos tenido en cuenta la media del  porcentaje de ocupación por habitación obtenido mediante el INE. </t>
  </si>
  <si>
    <t>OCUPACIÓN 2018-2019</t>
  </si>
  <si>
    <t>ACTIVO</t>
  </si>
  <si>
    <t xml:space="preserve">PASIVO </t>
  </si>
  <si>
    <t xml:space="preserve">Capital Social </t>
  </si>
  <si>
    <t>Equipos para procesos informáticos</t>
  </si>
  <si>
    <t>Mobiliario</t>
  </si>
  <si>
    <t>Maquinaria</t>
  </si>
  <si>
    <t>Deudas con entidades de crédito L/P</t>
  </si>
  <si>
    <t>Utillaje</t>
  </si>
  <si>
    <t>Construcciones</t>
  </si>
  <si>
    <t>EXISTENCIAS</t>
  </si>
  <si>
    <t>Material Diverso</t>
  </si>
  <si>
    <t>Proveedores Inmovilizado a C/P</t>
  </si>
  <si>
    <t>Material de Oficina</t>
  </si>
  <si>
    <t>TESORERÍA</t>
  </si>
  <si>
    <t>Caja</t>
  </si>
  <si>
    <t>Bancos</t>
  </si>
  <si>
    <t>TOTAL PASIVO</t>
  </si>
  <si>
    <t>TOTAL PASIVO + PATRIMONIO NETO</t>
  </si>
  <si>
    <t>Ratio de Calidad de la Deuda</t>
  </si>
  <si>
    <t>Ratio de Garantía</t>
  </si>
  <si>
    <t>Ratio de endeudamiento a C/P</t>
  </si>
  <si>
    <t>Ratio de endeudamiennto a L/P</t>
  </si>
  <si>
    <t>Ratio de apalancamiento</t>
  </si>
  <si>
    <t>Ratio de Exigibilidad</t>
  </si>
  <si>
    <t>Análisis de Endeudamiento</t>
  </si>
  <si>
    <t>Fondo de Maniobra</t>
  </si>
  <si>
    <t>Ratio de Liquidez</t>
  </si>
  <si>
    <t xml:space="preserve">Ratio de Tesorería </t>
  </si>
  <si>
    <t>Ratio de Disponibilidad</t>
  </si>
  <si>
    <t>Análisis de Liquidez</t>
  </si>
  <si>
    <t>Concluisión</t>
  </si>
  <si>
    <t>CP-ANC</t>
  </si>
  <si>
    <t>AC-PC</t>
  </si>
  <si>
    <t>FM</t>
  </si>
  <si>
    <t>PC 0,59%</t>
  </si>
  <si>
    <t>AC 3,26%</t>
  </si>
  <si>
    <t>FM +</t>
  </si>
  <si>
    <t>PNC</t>
  </si>
  <si>
    <t>ANC</t>
  </si>
  <si>
    <t>PTN</t>
  </si>
  <si>
    <t xml:space="preserve">                                                           PAVISO CORRIENTE</t>
  </si>
  <si>
    <t xml:space="preserve">                                                                   ACTIVO CORRIENTE</t>
  </si>
  <si>
    <t xml:space="preserve">                                                       PASIVO NO CORRIENTE</t>
  </si>
  <si>
    <t xml:space="preserve">                                                        INMOVILIZADO MATERIAL </t>
  </si>
  <si>
    <t xml:space="preserve">                                                           PATRIMONIO NETO</t>
  </si>
  <si>
    <t xml:space="preserve">                                    ACTIVO NO CORRIENTE</t>
  </si>
  <si>
    <t>TOTAL INGRESOS HABIT</t>
  </si>
  <si>
    <t xml:space="preserve">Mantenimiento y reparaciones </t>
  </si>
  <si>
    <t>COMOSIÓN OTAS</t>
  </si>
  <si>
    <t xml:space="preserve">80tipo </t>
  </si>
  <si>
    <t>COMISIÓN OTAS</t>
  </si>
  <si>
    <t>TIPO DE HABITACIÓN</t>
  </si>
  <si>
    <t>% OTAS</t>
  </si>
  <si>
    <t>PROMEDIO COMISIÓN</t>
  </si>
  <si>
    <t xml:space="preserve">Clientes que consumen los servicios complemtarios del departamento de alojamiento. </t>
  </si>
  <si>
    <t>Seguro Vivienda</t>
  </si>
  <si>
    <t>Todos los consumidores son clientes alojados</t>
  </si>
  <si>
    <t xml:space="preserve">Q Total </t>
  </si>
  <si>
    <t>Q  Consumen</t>
  </si>
  <si>
    <t xml:space="preserve">Q Consumen </t>
  </si>
  <si>
    <t>Q Consumen</t>
  </si>
  <si>
    <t xml:space="preserve">TARIFAS  OFICIALES </t>
  </si>
  <si>
    <t>Ratio de Autonomía Financiera</t>
  </si>
  <si>
    <t>FONDO DE MANIOBRA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</si>
</sst>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0\ &quot;€&quot;"/>
    <numFmt numFmtId="165" formatCode="#,##0\ &quot;€&quot;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8FA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9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2" xfId="0" applyNumberFormat="1" applyBorder="1"/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/>
    <xf numFmtId="164" fontId="1" fillId="2" borderId="0" xfId="0" applyNumberFormat="1" applyFont="1" applyFill="1" applyBorder="1"/>
    <xf numFmtId="164" fontId="0" fillId="0" borderId="0" xfId="0" applyNumberFormat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164" fontId="1" fillId="0" borderId="12" xfId="0" applyNumberFormat="1" applyFont="1" applyBorder="1"/>
    <xf numFmtId="164" fontId="1" fillId="0" borderId="12" xfId="0" applyNumberFormat="1" applyFont="1" applyBorder="1" applyAlignment="1">
      <alignment horizontal="center"/>
    </xf>
    <xf numFmtId="0" fontId="7" fillId="2" borderId="0" xfId="0" applyFont="1" applyFill="1" applyBorder="1"/>
    <xf numFmtId="0" fontId="0" fillId="3" borderId="0" xfId="0" applyFill="1"/>
    <xf numFmtId="164" fontId="0" fillId="0" borderId="13" xfId="0" applyNumberFormat="1" applyBorder="1"/>
    <xf numFmtId="9" fontId="0" fillId="0" borderId="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9" fillId="3" borderId="16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/>
    <xf numFmtId="165" fontId="0" fillId="0" borderId="0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0" fillId="0" borderId="5" xfId="0" applyNumberFormat="1" applyBorder="1"/>
    <xf numFmtId="164" fontId="1" fillId="0" borderId="13" xfId="0" applyNumberFormat="1" applyFont="1" applyBorder="1" applyAlignment="1">
      <alignment horizontal="center"/>
    </xf>
    <xf numFmtId="164" fontId="1" fillId="0" borderId="10" xfId="0" applyNumberFormat="1" applyFont="1" applyBorder="1"/>
    <xf numFmtId="0" fontId="1" fillId="3" borderId="9" xfId="0" applyFont="1" applyFill="1" applyBorder="1"/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/>
    <xf numFmtId="164" fontId="1" fillId="0" borderId="0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Border="1"/>
    <xf numFmtId="164" fontId="1" fillId="0" borderId="15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1" fillId="0" borderId="0" xfId="0" applyFont="1" applyBorder="1" applyAlignment="1"/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5" fontId="0" fillId="0" borderId="12" xfId="0" applyNumberFormat="1" applyBorder="1"/>
    <xf numFmtId="9" fontId="0" fillId="0" borderId="2" xfId="0" applyNumberFormat="1" applyBorder="1" applyAlignment="1">
      <alignment horizontal="center"/>
    </xf>
    <xf numFmtId="0" fontId="6" fillId="3" borderId="0" xfId="0" applyFont="1" applyFill="1"/>
    <xf numFmtId="9" fontId="0" fillId="0" borderId="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3" xfId="0" applyFont="1" applyFill="1" applyBorder="1"/>
    <xf numFmtId="9" fontId="6" fillId="3" borderId="13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" fillId="0" borderId="9" xfId="0" applyFont="1" applyBorder="1"/>
    <xf numFmtId="165" fontId="1" fillId="0" borderId="10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2" xfId="0" applyNumberFormat="1" applyBorder="1"/>
    <xf numFmtId="164" fontId="1" fillId="2" borderId="8" xfId="0" applyNumberFormat="1" applyFont="1" applyFill="1" applyBorder="1"/>
    <xf numFmtId="1" fontId="0" fillId="0" borderId="15" xfId="0" applyNumberFormat="1" applyBorder="1" applyAlignment="1">
      <alignment horizontal="center"/>
    </xf>
    <xf numFmtId="164" fontId="1" fillId="0" borderId="14" xfId="0" applyNumberFormat="1" applyFont="1" applyBorder="1"/>
    <xf numFmtId="9" fontId="0" fillId="0" borderId="13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12" xfId="0" applyFont="1" applyFill="1" applyBorder="1" applyAlignment="1"/>
    <xf numFmtId="1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2" borderId="0" xfId="0" applyFont="1" applyFill="1" applyAlignment="1"/>
    <xf numFmtId="0" fontId="5" fillId="0" borderId="13" xfId="0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/>
    <xf numFmtId="0" fontId="4" fillId="0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6" fillId="3" borderId="5" xfId="0" applyFont="1" applyFill="1" applyBorder="1"/>
    <xf numFmtId="164" fontId="1" fillId="0" borderId="8" xfId="0" applyNumberFormat="1" applyFont="1" applyBorder="1" applyAlignment="1">
      <alignment horizontal="center"/>
    </xf>
    <xf numFmtId="0" fontId="5" fillId="0" borderId="3" xfId="0" applyFont="1" applyBorder="1"/>
    <xf numFmtId="0" fontId="0" fillId="0" borderId="1" xfId="0" applyBorder="1"/>
    <xf numFmtId="10" fontId="0" fillId="0" borderId="15" xfId="0" applyNumberFormat="1" applyBorder="1"/>
    <xf numFmtId="164" fontId="0" fillId="0" borderId="15" xfId="0" applyNumberFormat="1" applyBorder="1"/>
    <xf numFmtId="0" fontId="1" fillId="0" borderId="6" xfId="0" applyFont="1" applyBorder="1"/>
    <xf numFmtId="0" fontId="0" fillId="0" borderId="1" xfId="0" applyFill="1" applyBorder="1"/>
    <xf numFmtId="0" fontId="1" fillId="0" borderId="6" xfId="0" applyFont="1" applyFill="1" applyBorder="1"/>
    <xf numFmtId="0" fontId="1" fillId="0" borderId="9" xfId="0" applyFont="1" applyFill="1" applyBorder="1"/>
    <xf numFmtId="0" fontId="5" fillId="0" borderId="1" xfId="0" applyFont="1" applyBorder="1"/>
    <xf numFmtId="0" fontId="4" fillId="0" borderId="9" xfId="0" applyFont="1" applyFill="1" applyBorder="1"/>
    <xf numFmtId="0" fontId="4" fillId="0" borderId="3" xfId="0" applyFont="1" applyFill="1" applyBorder="1"/>
    <xf numFmtId="0" fontId="4" fillId="0" borderId="6" xfId="0" applyFont="1" applyFill="1" applyBorder="1"/>
    <xf numFmtId="0" fontId="5" fillId="0" borderId="3" xfId="0" applyFont="1" applyFill="1" applyBorder="1"/>
    <xf numFmtId="165" fontId="0" fillId="0" borderId="13" xfId="0" applyNumberFormat="1" applyBorder="1"/>
    <xf numFmtId="0" fontId="5" fillId="0" borderId="1" xfId="0" applyFont="1" applyFill="1" applyBorder="1"/>
    <xf numFmtId="165" fontId="0" fillId="0" borderId="15" xfId="0" applyNumberFormat="1" applyBorder="1"/>
    <xf numFmtId="0" fontId="5" fillId="0" borderId="6" xfId="0" applyFont="1" applyFill="1" applyBorder="1"/>
    <xf numFmtId="0" fontId="5" fillId="0" borderId="9" xfId="0" applyFont="1" applyFill="1" applyBorder="1"/>
    <xf numFmtId="0" fontId="4" fillId="0" borderId="12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1" fontId="0" fillId="0" borderId="15" xfId="0" applyNumberFormat="1" applyBorder="1"/>
    <xf numFmtId="0" fontId="10" fillId="3" borderId="0" xfId="0" applyFont="1" applyFill="1" applyAlignment="1">
      <alignment horizontal="center"/>
    </xf>
    <xf numFmtId="164" fontId="2" fillId="2" borderId="13" xfId="0" applyNumberFormat="1" applyFont="1" applyFill="1" applyBorder="1" applyAlignment="1"/>
    <xf numFmtId="165" fontId="0" fillId="0" borderId="14" xfId="0" applyNumberForma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13" fillId="0" borderId="0" xfId="0" applyFont="1" applyBorder="1"/>
    <xf numFmtId="6" fontId="0" fillId="0" borderId="2" xfId="0" applyNumberFormat="1" applyBorder="1" applyAlignment="1">
      <alignment horizontal="center"/>
    </xf>
    <xf numFmtId="165" fontId="6" fillId="4" borderId="8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6" fillId="2" borderId="0" xfId="0" applyFont="1" applyFill="1" applyAlignment="1"/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4" xfId="0" applyBorder="1"/>
    <xf numFmtId="0" fontId="1" fillId="5" borderId="0" xfId="0" applyFont="1" applyFill="1" applyBorder="1" applyAlignment="1">
      <alignment horizontal="center"/>
    </xf>
    <xf numFmtId="0" fontId="0" fillId="6" borderId="0" xfId="0" applyFill="1" applyBorder="1"/>
    <xf numFmtId="0" fontId="1" fillId="7" borderId="7" xfId="0" applyFont="1" applyFill="1" applyBorder="1" applyAlignment="1">
      <alignment horizontal="center"/>
    </xf>
    <xf numFmtId="0" fontId="0" fillId="5" borderId="0" xfId="0" applyFill="1" applyBorder="1"/>
    <xf numFmtId="0" fontId="1" fillId="7" borderId="4" xfId="0" applyFont="1" applyFill="1" applyBorder="1" applyAlignment="1">
      <alignment horizontal="center"/>
    </xf>
    <xf numFmtId="0" fontId="0" fillId="5" borderId="4" xfId="0" applyFill="1" applyBorder="1"/>
    <xf numFmtId="10" fontId="1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10" fontId="1" fillId="8" borderId="0" xfId="0" applyNumberFormat="1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4" borderId="0" xfId="0" applyFont="1" applyFill="1" applyBorder="1" applyAlignment="1"/>
    <xf numFmtId="0" fontId="6" fillId="4" borderId="1" xfId="0" applyFont="1" applyFill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2" fontId="6" fillId="4" borderId="10" xfId="0" applyNumberFormat="1" applyFont="1" applyFill="1" applyBorder="1" applyAlignment="1">
      <alignment horizontal="center"/>
    </xf>
    <xf numFmtId="0" fontId="6" fillId="4" borderId="11" xfId="0" applyFont="1" applyFill="1" applyBorder="1" applyAlignment="1"/>
    <xf numFmtId="0" fontId="6" fillId="4" borderId="9" xfId="0" applyFont="1" applyFill="1" applyBorder="1" applyAlignment="1"/>
    <xf numFmtId="1" fontId="1" fillId="0" borderId="14" xfId="0" applyNumberFormat="1" applyFont="1" applyBorder="1" applyAlignment="1">
      <alignment horizontal="center"/>
    </xf>
    <xf numFmtId="0" fontId="16" fillId="3" borderId="18" xfId="0" applyFont="1" applyFill="1" applyBorder="1"/>
    <xf numFmtId="164" fontId="0" fillId="0" borderId="13" xfId="0" applyNumberFormat="1" applyBorder="1" applyAlignment="1">
      <alignment horizontal="center"/>
    </xf>
    <xf numFmtId="165" fontId="0" fillId="0" borderId="0" xfId="0" applyNumberFormat="1"/>
    <xf numFmtId="164" fontId="6" fillId="2" borderId="0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0" xfId="0" applyFont="1" applyFill="1" applyAlignment="1"/>
    <xf numFmtId="164" fontId="0" fillId="3" borderId="0" xfId="0" applyNumberFormat="1" applyFill="1"/>
    <xf numFmtId="0" fontId="1" fillId="0" borderId="0" xfId="0" applyFont="1"/>
    <xf numFmtId="0" fontId="6" fillId="4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9" fontId="0" fillId="0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9" fontId="1" fillId="3" borderId="0" xfId="0" applyNumberFormat="1" applyFont="1" applyFill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8F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76200</xdr:rowOff>
    </xdr:from>
    <xdr:to>
      <xdr:col>11</xdr:col>
      <xdr:colOff>752475</xdr:colOff>
      <xdr:row>36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1C022C-873A-4B1D-9BCF-3D81DCFF34C4}"/>
            </a:ext>
          </a:extLst>
        </xdr:cNvPr>
        <xdr:cNvSpPr txBox="1"/>
      </xdr:nvSpPr>
      <xdr:spPr>
        <a:xfrm>
          <a:off x="5334000" y="4457700"/>
          <a:ext cx="380047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Mi deuda es de buena calidad ya que la mayor parte  es a largo plazo.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vivienda no está lo suficientemente capitalizada.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Tiene buen ratio de garantía debido a que con mi activo puedo cubrir mi pasivo.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Respecto a la liquidez es buena porque puedo afrontar las deudas a corto plazo de forma inmediata.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Esta muy endeudada con un 85%  por lo tanto su estructura financiera debería mejorar.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54FA-6351-4528-96C6-4F5242B88F2F}">
  <dimension ref="A1:P47"/>
  <sheetViews>
    <sheetView topLeftCell="A13" workbookViewId="0">
      <selection activeCell="K41" sqref="K41"/>
    </sheetView>
  </sheetViews>
  <sheetFormatPr baseColWidth="10" defaultRowHeight="15" x14ac:dyDescent="0.25"/>
  <sheetData>
    <row r="1" spans="1:12" x14ac:dyDescent="0.25">
      <c r="A1" s="256" t="s">
        <v>120</v>
      </c>
      <c r="B1" s="257"/>
      <c r="C1" s="257"/>
      <c r="D1" s="257"/>
      <c r="E1" s="257"/>
      <c r="F1" s="272"/>
      <c r="G1" s="256" t="s">
        <v>121</v>
      </c>
      <c r="H1" s="257"/>
      <c r="I1" s="257"/>
      <c r="J1" s="257"/>
      <c r="K1" s="257"/>
      <c r="L1" s="272"/>
    </row>
    <row r="2" spans="1:12" x14ac:dyDescent="0.25">
      <c r="A2" s="256" t="s">
        <v>165</v>
      </c>
      <c r="B2" s="257"/>
      <c r="C2" s="257"/>
      <c r="D2" s="257"/>
      <c r="E2" s="257"/>
      <c r="F2" s="227">
        <f>F9/F20*100</f>
        <v>96.741993622625813</v>
      </c>
      <c r="G2" s="229" t="s">
        <v>164</v>
      </c>
      <c r="H2" s="228"/>
      <c r="I2" s="228"/>
      <c r="J2" s="228"/>
      <c r="K2" s="228"/>
      <c r="L2" s="227">
        <f>(L3/L20)*100</f>
        <v>15.187855261333702</v>
      </c>
    </row>
    <row r="3" spans="1:12" x14ac:dyDescent="0.25">
      <c r="A3" s="226" t="s">
        <v>163</v>
      </c>
      <c r="B3" s="225"/>
      <c r="C3" s="225"/>
      <c r="D3" s="225"/>
      <c r="E3" s="225"/>
      <c r="F3" s="224"/>
      <c r="G3" s="196">
        <v>100</v>
      </c>
      <c r="H3" s="273" t="s">
        <v>122</v>
      </c>
      <c r="I3" s="273"/>
      <c r="J3" s="273"/>
      <c r="K3" s="273"/>
      <c r="L3" s="186">
        <v>21910</v>
      </c>
    </row>
    <row r="4" spans="1:12" x14ac:dyDescent="0.25">
      <c r="A4" s="196">
        <v>217</v>
      </c>
      <c r="B4" s="263" t="s">
        <v>123</v>
      </c>
      <c r="C4" s="263"/>
      <c r="D4" s="263"/>
      <c r="E4" s="263"/>
      <c r="F4" s="107">
        <v>850</v>
      </c>
      <c r="G4" s="223" t="s">
        <v>162</v>
      </c>
      <c r="H4" s="222"/>
      <c r="I4" s="222"/>
      <c r="J4" s="222"/>
      <c r="K4" s="222"/>
      <c r="L4" s="221">
        <f>(L6/L20)*100</f>
        <v>84.222930819353948</v>
      </c>
    </row>
    <row r="5" spans="1:12" x14ac:dyDescent="0.25">
      <c r="A5" s="196">
        <v>216</v>
      </c>
      <c r="B5" s="263" t="s">
        <v>124</v>
      </c>
      <c r="C5" s="263"/>
      <c r="D5" s="263"/>
      <c r="E5" s="263"/>
      <c r="F5" s="107">
        <v>15950</v>
      </c>
      <c r="G5" s="160"/>
      <c r="H5" s="36"/>
      <c r="I5" s="36"/>
      <c r="J5" s="36"/>
      <c r="K5" s="36"/>
      <c r="L5" s="187"/>
    </row>
    <row r="6" spans="1:12" x14ac:dyDescent="0.25">
      <c r="A6" s="196">
        <v>213</v>
      </c>
      <c r="B6" s="263" t="s">
        <v>125</v>
      </c>
      <c r="C6" s="263"/>
      <c r="D6" s="263"/>
      <c r="E6" s="263"/>
      <c r="F6" s="107">
        <v>660</v>
      </c>
      <c r="G6" s="196">
        <v>170</v>
      </c>
      <c r="H6" s="36" t="s">
        <v>126</v>
      </c>
      <c r="I6" s="36"/>
      <c r="J6" s="36"/>
      <c r="K6" s="36"/>
      <c r="L6" s="188">
        <v>121500</v>
      </c>
    </row>
    <row r="7" spans="1:12" x14ac:dyDescent="0.25">
      <c r="A7" s="196">
        <v>214</v>
      </c>
      <c r="B7" s="263" t="s">
        <v>127</v>
      </c>
      <c r="C7" s="263"/>
      <c r="D7" s="263"/>
      <c r="E7" s="263"/>
      <c r="F7" s="107">
        <v>600</v>
      </c>
      <c r="G7" s="160"/>
      <c r="H7" s="36"/>
      <c r="I7" s="36"/>
      <c r="J7" s="36"/>
      <c r="K7" s="36"/>
      <c r="L7" s="187"/>
    </row>
    <row r="8" spans="1:12" x14ac:dyDescent="0.25">
      <c r="A8" s="196">
        <v>210</v>
      </c>
      <c r="B8" s="263" t="s">
        <v>128</v>
      </c>
      <c r="C8" s="263"/>
      <c r="D8" s="263"/>
      <c r="E8" s="263"/>
      <c r="F8" s="107">
        <v>121500</v>
      </c>
      <c r="G8" s="160"/>
      <c r="H8" s="189"/>
      <c r="I8" s="36"/>
      <c r="J8" s="36"/>
      <c r="K8" s="36"/>
      <c r="L8" s="187"/>
    </row>
    <row r="9" spans="1:12" x14ac:dyDescent="0.25">
      <c r="A9" s="160"/>
      <c r="B9" s="36"/>
      <c r="C9" s="36"/>
      <c r="D9" s="36"/>
      <c r="E9" s="36"/>
      <c r="F9" s="122">
        <f>SUM(F4:F8)</f>
        <v>139560</v>
      </c>
      <c r="G9" s="160"/>
      <c r="H9" s="36"/>
      <c r="I9" s="36"/>
      <c r="J9" s="36"/>
      <c r="K9" s="36"/>
      <c r="L9" s="187"/>
    </row>
    <row r="10" spans="1:12" x14ac:dyDescent="0.25">
      <c r="A10" s="223" t="s">
        <v>161</v>
      </c>
      <c r="B10" s="222"/>
      <c r="C10" s="222"/>
      <c r="D10" s="222"/>
      <c r="E10" s="222"/>
      <c r="F10" s="221">
        <f>(F19/F20)*100</f>
        <v>3.2580063773741856</v>
      </c>
      <c r="G10" s="223" t="s">
        <v>160</v>
      </c>
      <c r="H10" s="222"/>
      <c r="I10" s="222"/>
      <c r="J10" s="222"/>
      <c r="K10" s="222"/>
      <c r="L10" s="221">
        <f>(L12/L20)*100</f>
        <v>0.58921391931235267</v>
      </c>
    </row>
    <row r="11" spans="1:12" x14ac:dyDescent="0.25">
      <c r="A11" s="261" t="s">
        <v>129</v>
      </c>
      <c r="B11" s="262"/>
      <c r="C11" s="262"/>
      <c r="D11" s="262"/>
      <c r="E11" s="262"/>
      <c r="F11" s="266"/>
      <c r="G11" s="160"/>
      <c r="H11" s="36"/>
      <c r="I11" s="36"/>
      <c r="J11" s="36"/>
      <c r="K11" s="36"/>
      <c r="L11" s="187"/>
    </row>
    <row r="12" spans="1:12" x14ac:dyDescent="0.25">
      <c r="A12" s="196">
        <v>320</v>
      </c>
      <c r="B12" s="263" t="s">
        <v>130</v>
      </c>
      <c r="C12" s="263"/>
      <c r="D12" s="263"/>
      <c r="E12" s="263"/>
      <c r="F12" s="107">
        <v>1000</v>
      </c>
      <c r="G12" s="196">
        <v>523</v>
      </c>
      <c r="H12" s="36" t="s">
        <v>131</v>
      </c>
      <c r="I12" s="36"/>
      <c r="J12" s="36"/>
      <c r="K12" s="36"/>
      <c r="L12" s="190">
        <v>850</v>
      </c>
    </row>
    <row r="13" spans="1:12" x14ac:dyDescent="0.25">
      <c r="A13" s="196">
        <v>328</v>
      </c>
      <c r="B13" s="263" t="s">
        <v>132</v>
      </c>
      <c r="C13" s="263"/>
      <c r="D13" s="263"/>
      <c r="E13" s="263"/>
      <c r="F13" s="107">
        <v>100</v>
      </c>
      <c r="G13" s="160"/>
      <c r="H13" s="36"/>
      <c r="I13" s="36"/>
      <c r="J13" s="36"/>
      <c r="K13" s="36"/>
      <c r="L13" s="187"/>
    </row>
    <row r="14" spans="1:12" x14ac:dyDescent="0.25">
      <c r="A14" s="197"/>
      <c r="B14" s="36"/>
      <c r="C14" s="36"/>
      <c r="D14" s="36"/>
      <c r="E14" s="36"/>
      <c r="F14" s="122">
        <f>SUM(F12:F13)</f>
        <v>1100</v>
      </c>
      <c r="G14" s="160"/>
      <c r="H14" s="36"/>
      <c r="I14" s="36"/>
      <c r="J14" s="36"/>
      <c r="K14" s="36"/>
      <c r="L14" s="187"/>
    </row>
    <row r="15" spans="1:12" x14ac:dyDescent="0.25">
      <c r="A15" s="261" t="s">
        <v>133</v>
      </c>
      <c r="B15" s="262"/>
      <c r="C15" s="262"/>
      <c r="D15" s="262"/>
      <c r="E15" s="262"/>
      <c r="F15" s="266"/>
      <c r="G15" s="160"/>
      <c r="H15" s="36"/>
      <c r="I15" s="36"/>
      <c r="J15" s="36"/>
      <c r="K15" s="36"/>
      <c r="L15" s="187"/>
    </row>
    <row r="16" spans="1:12" x14ac:dyDescent="0.25">
      <c r="A16" s="196">
        <v>570</v>
      </c>
      <c r="B16" s="263" t="s">
        <v>134</v>
      </c>
      <c r="C16" s="263"/>
      <c r="D16" s="263"/>
      <c r="E16" s="263"/>
      <c r="F16" s="107">
        <v>600</v>
      </c>
      <c r="G16" s="160"/>
      <c r="H16" s="36"/>
      <c r="I16" s="36"/>
      <c r="J16" s="36"/>
      <c r="K16" s="36"/>
      <c r="L16" s="187"/>
    </row>
    <row r="17" spans="1:16" x14ac:dyDescent="0.25">
      <c r="A17" s="196">
        <v>572</v>
      </c>
      <c r="B17" s="263" t="s">
        <v>135</v>
      </c>
      <c r="C17" s="263"/>
      <c r="D17" s="263"/>
      <c r="E17" s="263"/>
      <c r="F17" s="107">
        <v>3000</v>
      </c>
      <c r="G17" s="160"/>
      <c r="H17" s="36"/>
      <c r="I17" s="36"/>
      <c r="J17" s="36"/>
      <c r="K17" s="36"/>
      <c r="L17" s="187"/>
    </row>
    <row r="18" spans="1:16" x14ac:dyDescent="0.25">
      <c r="A18" s="160"/>
      <c r="B18" s="36"/>
      <c r="C18" s="36"/>
      <c r="D18" s="36"/>
      <c r="E18" s="36"/>
      <c r="F18" s="122">
        <f>SUM(F16:F17)</f>
        <v>3600</v>
      </c>
      <c r="G18" s="160"/>
      <c r="H18" s="36"/>
      <c r="I18" s="36"/>
      <c r="J18" s="36"/>
      <c r="K18" s="36"/>
      <c r="L18" s="187"/>
    </row>
    <row r="19" spans="1:16" x14ac:dyDescent="0.25">
      <c r="A19" s="160"/>
      <c r="B19" s="36"/>
      <c r="C19" s="36"/>
      <c r="D19" s="36"/>
      <c r="E19" s="36"/>
      <c r="F19" s="122">
        <f>F14+F18</f>
        <v>4700</v>
      </c>
      <c r="G19" s="160"/>
      <c r="H19" s="36"/>
      <c r="I19" s="36"/>
      <c r="J19" s="36"/>
      <c r="K19" s="36"/>
      <c r="L19" s="187"/>
    </row>
    <row r="20" spans="1:16" x14ac:dyDescent="0.25">
      <c r="A20" s="264" t="s">
        <v>136</v>
      </c>
      <c r="B20" s="265"/>
      <c r="C20" s="265"/>
      <c r="D20" s="265"/>
      <c r="E20" s="265"/>
      <c r="F20" s="191">
        <f>F9+F14+F18</f>
        <v>144260</v>
      </c>
      <c r="G20" s="264" t="s">
        <v>137</v>
      </c>
      <c r="H20" s="265"/>
      <c r="I20" s="265"/>
      <c r="J20" s="265"/>
      <c r="K20" s="265"/>
      <c r="L20" s="191">
        <f>L3+L6+L12</f>
        <v>144260</v>
      </c>
    </row>
    <row r="21" spans="1:16" x14ac:dyDescent="0.25">
      <c r="N21" s="274" t="s">
        <v>183</v>
      </c>
      <c r="O21" s="274"/>
      <c r="P21" s="274"/>
    </row>
    <row r="23" spans="1:16" x14ac:dyDescent="0.25">
      <c r="A23" s="258" t="s">
        <v>149</v>
      </c>
      <c r="B23" s="259"/>
      <c r="C23" s="259"/>
      <c r="D23" s="259"/>
      <c r="E23" s="259"/>
      <c r="F23" s="260"/>
      <c r="H23" s="253" t="s">
        <v>150</v>
      </c>
      <c r="I23" s="253"/>
      <c r="J23" s="253"/>
      <c r="K23" s="253"/>
      <c r="L23" s="253"/>
      <c r="N23" s="217"/>
      <c r="P23" s="216" t="s">
        <v>159</v>
      </c>
    </row>
    <row r="24" spans="1:16" x14ac:dyDescent="0.25">
      <c r="A24" s="160"/>
      <c r="B24" s="36"/>
      <c r="C24" s="36"/>
      <c r="D24" s="36"/>
      <c r="E24" s="36"/>
      <c r="F24" s="187"/>
      <c r="N24" s="208"/>
      <c r="P24" s="215">
        <v>0.15190000000000001</v>
      </c>
    </row>
    <row r="25" spans="1:16" x14ac:dyDescent="0.25">
      <c r="A25" s="261" t="s">
        <v>148</v>
      </c>
      <c r="B25" s="262"/>
      <c r="C25" s="262"/>
      <c r="D25" s="219">
        <f>BALANCE!F18/BALANCE!L12</f>
        <v>4.2352941176470589</v>
      </c>
      <c r="E25" s="36"/>
      <c r="F25" s="187"/>
      <c r="N25" s="208"/>
      <c r="P25" s="208"/>
    </row>
    <row r="26" spans="1:16" x14ac:dyDescent="0.25">
      <c r="A26" s="160"/>
      <c r="B26" s="36"/>
      <c r="C26" s="36"/>
      <c r="D26" s="36"/>
      <c r="E26" s="36"/>
      <c r="F26" s="187"/>
      <c r="N26" s="208"/>
      <c r="P26" s="208"/>
    </row>
    <row r="27" spans="1:16" x14ac:dyDescent="0.25">
      <c r="A27" s="261" t="s">
        <v>147</v>
      </c>
      <c r="B27" s="262"/>
      <c r="C27" s="262"/>
      <c r="D27" s="219">
        <f>BALANCE!F18/BALANCE!L12</f>
        <v>4.2352941176470589</v>
      </c>
      <c r="E27" s="36"/>
      <c r="F27" s="187"/>
      <c r="N27" s="208"/>
      <c r="P27" s="208"/>
    </row>
    <row r="28" spans="1:16" x14ac:dyDescent="0.25">
      <c r="A28" s="160"/>
      <c r="B28" s="36"/>
      <c r="C28" s="36"/>
      <c r="D28" s="36"/>
      <c r="E28" s="36"/>
      <c r="F28" s="187"/>
      <c r="N28" s="214" t="s">
        <v>158</v>
      </c>
      <c r="P28" s="214" t="s">
        <v>157</v>
      </c>
    </row>
    <row r="29" spans="1:16" x14ac:dyDescent="0.25">
      <c r="A29" s="261" t="s">
        <v>146</v>
      </c>
      <c r="B29" s="262"/>
      <c r="C29" s="262"/>
      <c r="D29" s="218">
        <f>(1100+3600)/850</f>
        <v>5.5294117647058822</v>
      </c>
      <c r="E29" s="36"/>
      <c r="F29" s="187"/>
      <c r="N29" s="213">
        <v>0.96740000000000004</v>
      </c>
      <c r="P29" s="213">
        <v>0.84219999999999995</v>
      </c>
    </row>
    <row r="30" spans="1:16" x14ac:dyDescent="0.25">
      <c r="A30" s="160"/>
      <c r="B30" s="36"/>
      <c r="C30" s="36"/>
      <c r="D30" s="36"/>
      <c r="E30" s="36"/>
      <c r="F30" s="187"/>
      <c r="N30" s="208"/>
      <c r="P30" s="208"/>
    </row>
    <row r="31" spans="1:16" x14ac:dyDescent="0.25">
      <c r="A31" s="261" t="s">
        <v>145</v>
      </c>
      <c r="B31" s="262"/>
      <c r="C31" s="262"/>
      <c r="D31" s="106">
        <f>(BALANCE!F14+BALANCE!F18-BALANCE!L12)</f>
        <v>3850</v>
      </c>
      <c r="E31" s="36"/>
      <c r="F31" s="187"/>
      <c r="N31" s="212"/>
      <c r="O31" s="211" t="s">
        <v>156</v>
      </c>
      <c r="P31" s="208"/>
    </row>
    <row r="32" spans="1:16" x14ac:dyDescent="0.25">
      <c r="A32" s="160"/>
      <c r="B32" s="36"/>
      <c r="C32" s="36"/>
      <c r="D32" s="36"/>
      <c r="E32" s="36"/>
      <c r="F32" s="187"/>
      <c r="N32" s="210"/>
      <c r="O32" s="209"/>
      <c r="P32" s="208"/>
    </row>
    <row r="33" spans="1:16" x14ac:dyDescent="0.25">
      <c r="A33" s="269" t="s">
        <v>144</v>
      </c>
      <c r="B33" s="270"/>
      <c r="C33" s="270"/>
      <c r="D33" s="270"/>
      <c r="E33" s="270"/>
      <c r="F33" s="271"/>
      <c r="N33" s="207" t="s">
        <v>155</v>
      </c>
      <c r="O33" s="206"/>
      <c r="P33" s="205" t="s">
        <v>154</v>
      </c>
    </row>
    <row r="34" spans="1:16" x14ac:dyDescent="0.25">
      <c r="A34" s="160"/>
      <c r="B34" s="36"/>
      <c r="C34" s="36"/>
      <c r="D34" s="36"/>
      <c r="E34" s="36"/>
      <c r="F34" s="187"/>
    </row>
    <row r="35" spans="1:16" x14ac:dyDescent="0.25">
      <c r="A35" s="261" t="s">
        <v>143</v>
      </c>
      <c r="B35" s="262"/>
      <c r="C35" s="262"/>
      <c r="D35" s="219">
        <f>(BALANCE!L6+BALANCE!L12)/BALANCE!L20</f>
        <v>0.84812144738666295</v>
      </c>
      <c r="E35" s="36"/>
      <c r="F35" s="187"/>
      <c r="N35" s="254" t="s">
        <v>153</v>
      </c>
      <c r="O35" s="255"/>
    </row>
    <row r="36" spans="1:16" x14ac:dyDescent="0.25">
      <c r="A36" s="160"/>
      <c r="B36" s="36"/>
      <c r="C36" s="36"/>
      <c r="D36" s="36"/>
      <c r="E36" s="36"/>
      <c r="F36" s="187"/>
      <c r="N36" s="196" t="s">
        <v>152</v>
      </c>
      <c r="O36" s="107">
        <f>BALANCE!F19-BALANCE!L12</f>
        <v>3850</v>
      </c>
    </row>
    <row r="37" spans="1:16" x14ac:dyDescent="0.25">
      <c r="A37" s="261" t="s">
        <v>142</v>
      </c>
      <c r="B37" s="262"/>
      <c r="C37" s="262"/>
      <c r="D37" s="219">
        <f>(121500+850)/21910</f>
        <v>5.5842081241442267</v>
      </c>
      <c r="E37" s="36"/>
      <c r="F37" s="187"/>
      <c r="N37" s="10" t="s">
        <v>151</v>
      </c>
      <c r="O37" s="198">
        <f>(BALANCE!L3+BALANCE!L6)-BALANCE!L12</f>
        <v>142560</v>
      </c>
    </row>
    <row r="38" spans="1:16" x14ac:dyDescent="0.25">
      <c r="A38" s="160"/>
      <c r="B38" s="36"/>
      <c r="C38" s="36"/>
      <c r="D38" s="36"/>
      <c r="E38" s="36"/>
      <c r="F38" s="187"/>
    </row>
    <row r="39" spans="1:16" x14ac:dyDescent="0.25">
      <c r="A39" s="261" t="s">
        <v>141</v>
      </c>
      <c r="B39" s="262"/>
      <c r="C39" s="262"/>
      <c r="D39" s="310">
        <f>BALANCE!L6/BALANCE!L3</f>
        <v>5.5454130534002735</v>
      </c>
      <c r="E39" s="36"/>
      <c r="F39" s="187"/>
    </row>
    <row r="40" spans="1:16" x14ac:dyDescent="0.25">
      <c r="A40" s="160"/>
      <c r="B40" s="36"/>
      <c r="C40" s="36"/>
      <c r="D40" s="36"/>
      <c r="E40" s="36"/>
      <c r="F40" s="187"/>
    </row>
    <row r="41" spans="1:16" x14ac:dyDescent="0.25">
      <c r="A41" s="261" t="s">
        <v>140</v>
      </c>
      <c r="B41" s="262"/>
      <c r="C41" s="262"/>
      <c r="D41" s="310">
        <f>BALANCE!L12/BALANCE!L3</f>
        <v>3.8795070743952532E-2</v>
      </c>
      <c r="E41" s="36"/>
      <c r="F41" s="187"/>
    </row>
    <row r="42" spans="1:16" x14ac:dyDescent="0.25">
      <c r="A42" s="160"/>
      <c r="B42" s="36"/>
      <c r="C42" s="36"/>
      <c r="D42" s="36"/>
      <c r="E42" s="36"/>
      <c r="F42" s="187"/>
    </row>
    <row r="43" spans="1:16" x14ac:dyDescent="0.25">
      <c r="A43" s="261" t="s">
        <v>182</v>
      </c>
      <c r="B43" s="262"/>
      <c r="C43" s="262"/>
      <c r="D43" s="219">
        <f>(L3/L20)</f>
        <v>0.15187855261333702</v>
      </c>
      <c r="E43" s="36"/>
      <c r="F43" s="187"/>
    </row>
    <row r="44" spans="1:16" x14ac:dyDescent="0.25">
      <c r="A44" s="160"/>
      <c r="B44" s="36"/>
      <c r="C44" s="36"/>
      <c r="D44" s="36"/>
      <c r="E44" s="36"/>
      <c r="F44" s="187"/>
    </row>
    <row r="45" spans="1:16" x14ac:dyDescent="0.25">
      <c r="A45" s="261" t="s">
        <v>139</v>
      </c>
      <c r="B45" s="262"/>
      <c r="C45" s="262"/>
      <c r="D45" s="219">
        <f>BALANCE!F20/(BALANCE!L6+BALANCE!L12)</f>
        <v>1.1790764201062525</v>
      </c>
      <c r="E45" s="36"/>
      <c r="F45" s="187"/>
    </row>
    <row r="46" spans="1:16" x14ac:dyDescent="0.25">
      <c r="A46" s="160"/>
      <c r="B46" s="36"/>
      <c r="C46" s="36"/>
      <c r="D46" s="36"/>
      <c r="E46" s="36"/>
      <c r="F46" s="187"/>
    </row>
    <row r="47" spans="1:16" x14ac:dyDescent="0.25">
      <c r="A47" s="267" t="s">
        <v>138</v>
      </c>
      <c r="B47" s="268"/>
      <c r="C47" s="268"/>
      <c r="D47" s="220">
        <f>BALANCE!L12/(BALANCE!L6+BALANCE!L12)</f>
        <v>6.9472823865958317E-3</v>
      </c>
      <c r="E47" s="203"/>
      <c r="F47" s="202"/>
    </row>
  </sheetData>
  <mergeCells count="33">
    <mergeCell ref="N21:P21"/>
    <mergeCell ref="B8:E8"/>
    <mergeCell ref="A1:F1"/>
    <mergeCell ref="G1:L1"/>
    <mergeCell ref="H3:K3"/>
    <mergeCell ref="B4:E4"/>
    <mergeCell ref="B5:E5"/>
    <mergeCell ref="B6:E6"/>
    <mergeCell ref="B7:E7"/>
    <mergeCell ref="A45:C45"/>
    <mergeCell ref="A47:C47"/>
    <mergeCell ref="A33:F33"/>
    <mergeCell ref="A35:C35"/>
    <mergeCell ref="A37:C37"/>
    <mergeCell ref="A39:C39"/>
    <mergeCell ref="A41:C41"/>
    <mergeCell ref="A43:C43"/>
    <mergeCell ref="H23:L23"/>
    <mergeCell ref="N35:O35"/>
    <mergeCell ref="A2:E2"/>
    <mergeCell ref="A23:F23"/>
    <mergeCell ref="A25:C25"/>
    <mergeCell ref="A27:C27"/>
    <mergeCell ref="A29:C29"/>
    <mergeCell ref="A31:C31"/>
    <mergeCell ref="B16:E16"/>
    <mergeCell ref="B17:E17"/>
    <mergeCell ref="A20:E20"/>
    <mergeCell ref="G20:K20"/>
    <mergeCell ref="A11:F11"/>
    <mergeCell ref="B12:E12"/>
    <mergeCell ref="B13:E13"/>
    <mergeCell ref="A15:F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4E1E-57E4-4CF6-A8D1-DBCB18073D6B}">
  <dimension ref="A1:N76"/>
  <sheetViews>
    <sheetView topLeftCell="A37" workbookViewId="0">
      <selection activeCell="I26" sqref="I26"/>
    </sheetView>
  </sheetViews>
  <sheetFormatPr baseColWidth="10" defaultRowHeight="15" x14ac:dyDescent="0.25"/>
  <cols>
    <col min="1" max="1" width="27.85546875" customWidth="1"/>
    <col min="2" max="2" width="16.28515625" customWidth="1"/>
    <col min="3" max="3" width="14.7109375" customWidth="1"/>
    <col min="4" max="4" width="16.5703125" customWidth="1"/>
    <col min="5" max="5" width="20.5703125" customWidth="1"/>
    <col min="6" max="6" width="15" customWidth="1"/>
    <col min="7" max="7" width="15.85546875" customWidth="1"/>
    <col min="8" max="8" width="14.28515625" customWidth="1"/>
    <col min="9" max="9" width="15.85546875" customWidth="1"/>
    <col min="11" max="11" width="17" customWidth="1"/>
  </cols>
  <sheetData>
    <row r="1" spans="1:14" x14ac:dyDescent="0.25">
      <c r="A1" s="274" t="s">
        <v>20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76"/>
      <c r="N2" s="276"/>
    </row>
    <row r="3" spans="1:14" x14ac:dyDescent="0.25">
      <c r="A3" s="277" t="s">
        <v>16</v>
      </c>
      <c r="B3" s="278"/>
      <c r="D3" s="275" t="s">
        <v>181</v>
      </c>
      <c r="E3" s="275"/>
      <c r="F3" s="275"/>
      <c r="G3" s="275"/>
      <c r="I3" s="284" t="s">
        <v>119</v>
      </c>
      <c r="J3" s="284"/>
      <c r="K3" s="37"/>
      <c r="L3" s="37"/>
      <c r="M3" s="94"/>
      <c r="N3" s="95"/>
    </row>
    <row r="4" spans="1:14" x14ac:dyDescent="0.25">
      <c r="A4" s="254" t="s">
        <v>6</v>
      </c>
      <c r="B4" s="255"/>
      <c r="D4" s="86"/>
      <c r="E4" s="3" t="s">
        <v>21</v>
      </c>
      <c r="F4" s="4" t="s">
        <v>23</v>
      </c>
      <c r="G4" s="5" t="s">
        <v>22</v>
      </c>
      <c r="I4" s="38">
        <v>43101</v>
      </c>
      <c r="J4" s="39">
        <v>0.498</v>
      </c>
      <c r="K4" s="18"/>
      <c r="L4" s="36"/>
      <c r="M4" s="94"/>
      <c r="N4" s="95"/>
    </row>
    <row r="5" spans="1:14" x14ac:dyDescent="0.25">
      <c r="D5" s="90" t="s">
        <v>5</v>
      </c>
      <c r="E5" s="6">
        <v>60</v>
      </c>
      <c r="F5" s="6">
        <v>51</v>
      </c>
      <c r="G5" s="7">
        <v>41</v>
      </c>
      <c r="I5" s="40">
        <v>43132</v>
      </c>
      <c r="J5" s="41">
        <v>0.58520000000000005</v>
      </c>
      <c r="K5" s="6"/>
      <c r="L5" s="36"/>
      <c r="M5" s="94"/>
      <c r="N5" s="95"/>
    </row>
    <row r="6" spans="1:14" x14ac:dyDescent="0.25">
      <c r="A6" s="26"/>
      <c r="B6" s="26"/>
      <c r="D6" s="91" t="s">
        <v>42</v>
      </c>
      <c r="E6" s="8">
        <v>51</v>
      </c>
      <c r="F6" s="8">
        <v>43</v>
      </c>
      <c r="G6" s="11">
        <v>35</v>
      </c>
      <c r="I6" s="40">
        <v>43160</v>
      </c>
      <c r="J6" s="41">
        <v>0.67779999999999996</v>
      </c>
      <c r="K6" s="6"/>
      <c r="L6" s="6"/>
      <c r="M6" s="94"/>
      <c r="N6" s="95"/>
    </row>
    <row r="7" spans="1:14" x14ac:dyDescent="0.25">
      <c r="A7" s="43" t="s">
        <v>0</v>
      </c>
      <c r="B7" s="43" t="s">
        <v>1</v>
      </c>
      <c r="I7" s="40">
        <v>43191</v>
      </c>
      <c r="J7" s="41">
        <v>0.78659999999999997</v>
      </c>
      <c r="M7" s="94"/>
      <c r="N7" s="95"/>
    </row>
    <row r="8" spans="1:14" x14ac:dyDescent="0.25">
      <c r="A8" s="25" t="s">
        <v>2</v>
      </c>
      <c r="B8" s="13">
        <v>3</v>
      </c>
      <c r="I8" s="40">
        <v>43221</v>
      </c>
      <c r="J8" s="41">
        <v>0.80889999999999995</v>
      </c>
      <c r="M8" s="94"/>
      <c r="N8" s="95"/>
    </row>
    <row r="9" spans="1:14" x14ac:dyDescent="0.25">
      <c r="A9" s="204" t="s">
        <v>4</v>
      </c>
      <c r="B9" s="9">
        <v>3</v>
      </c>
      <c r="D9" s="274" t="s">
        <v>41</v>
      </c>
      <c r="E9" s="274"/>
      <c r="F9" s="274"/>
      <c r="I9" s="40">
        <v>43252</v>
      </c>
      <c r="J9" s="41">
        <v>0.66310000000000002</v>
      </c>
      <c r="M9" s="94"/>
      <c r="N9" s="95"/>
    </row>
    <row r="10" spans="1:14" x14ac:dyDescent="0.25">
      <c r="A10" s="281"/>
      <c r="B10" s="263"/>
      <c r="D10" s="64" t="s">
        <v>4</v>
      </c>
      <c r="E10" s="285">
        <f>(E5+F5+G5)/3</f>
        <v>50.666666666666664</v>
      </c>
      <c r="F10" s="286"/>
      <c r="I10" s="40">
        <v>43282</v>
      </c>
      <c r="J10" s="41">
        <v>0.60389999999999999</v>
      </c>
      <c r="M10" s="94"/>
      <c r="N10" s="95"/>
    </row>
    <row r="11" spans="1:14" x14ac:dyDescent="0.25">
      <c r="A11" s="274" t="s">
        <v>38</v>
      </c>
      <c r="B11" s="274"/>
      <c r="D11" s="91" t="s">
        <v>42</v>
      </c>
      <c r="E11" s="287">
        <f>(E6+F6+G6)/3</f>
        <v>43</v>
      </c>
      <c r="F11" s="288"/>
      <c r="I11" s="40">
        <v>43313</v>
      </c>
      <c r="J11" s="41">
        <v>0.6583</v>
      </c>
      <c r="M11" s="94"/>
      <c r="N11" s="95"/>
    </row>
    <row r="12" spans="1:14" ht="15.75" x14ac:dyDescent="0.25">
      <c r="A12" s="25" t="s">
        <v>39</v>
      </c>
      <c r="B12" s="141" t="s">
        <v>43</v>
      </c>
      <c r="D12" s="70"/>
      <c r="E12" s="12"/>
      <c r="I12" s="40">
        <v>43344</v>
      </c>
      <c r="J12" s="41">
        <v>0.75649999999999995</v>
      </c>
      <c r="M12" s="94"/>
      <c r="N12" s="95"/>
    </row>
    <row r="13" spans="1:14" x14ac:dyDescent="0.25">
      <c r="A13" s="204" t="s">
        <v>4</v>
      </c>
      <c r="B13" s="9">
        <f>B9*31*12</f>
        <v>1116</v>
      </c>
      <c r="E13" s="12"/>
      <c r="I13" s="40">
        <v>43374</v>
      </c>
      <c r="J13" s="41">
        <v>0.77600000000000002</v>
      </c>
      <c r="M13" s="94"/>
      <c r="N13" s="95"/>
    </row>
    <row r="14" spans="1:14" x14ac:dyDescent="0.25">
      <c r="I14" s="40">
        <v>43405</v>
      </c>
      <c r="J14" s="41">
        <v>0.68779999999999997</v>
      </c>
      <c r="M14" s="94"/>
      <c r="N14" s="95"/>
    </row>
    <row r="15" spans="1:14" x14ac:dyDescent="0.25">
      <c r="I15" s="40">
        <v>43435</v>
      </c>
      <c r="J15" s="41">
        <v>0.57999999999999996</v>
      </c>
      <c r="M15" s="94"/>
      <c r="N15" s="95"/>
    </row>
    <row r="16" spans="1:14" x14ac:dyDescent="0.25">
      <c r="A16" s="252" t="s">
        <v>118</v>
      </c>
      <c r="B16" s="252"/>
      <c r="C16" s="252"/>
      <c r="D16" s="252"/>
      <c r="E16" s="252"/>
      <c r="F16" s="252"/>
      <c r="G16" s="252"/>
      <c r="H16" s="252"/>
      <c r="I16" s="40">
        <v>43466</v>
      </c>
      <c r="J16" s="41">
        <v>0.53779999999999994</v>
      </c>
      <c r="M16" s="94"/>
      <c r="N16" s="95"/>
    </row>
    <row r="17" spans="1:14" x14ac:dyDescent="0.25">
      <c r="A17" s="252" t="s">
        <v>25</v>
      </c>
      <c r="B17" s="252"/>
      <c r="C17" s="252"/>
      <c r="D17" s="252"/>
      <c r="E17" s="252"/>
      <c r="F17" s="252"/>
      <c r="G17" s="252"/>
      <c r="H17" s="252"/>
      <c r="I17" s="40">
        <v>43497</v>
      </c>
      <c r="J17" s="41">
        <v>0.6099</v>
      </c>
      <c r="M17" s="94"/>
      <c r="N17" s="95"/>
    </row>
    <row r="18" spans="1:14" x14ac:dyDescent="0.25">
      <c r="I18" s="40">
        <v>43525</v>
      </c>
      <c r="J18" s="41">
        <v>0.71319999999999995</v>
      </c>
      <c r="M18" s="15"/>
      <c r="N18" s="96"/>
    </row>
    <row r="19" spans="1:14" ht="15.75" x14ac:dyDescent="0.25">
      <c r="A19" s="14"/>
      <c r="B19" s="15"/>
      <c r="I19" s="22" t="s">
        <v>24</v>
      </c>
      <c r="J19" s="42">
        <f>AVERAGE(J4:J18)</f>
        <v>0.66286666666666672</v>
      </c>
    </row>
    <row r="20" spans="1:14" ht="21" x14ac:dyDescent="0.35">
      <c r="A20" s="282" t="s">
        <v>7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</row>
    <row r="21" spans="1:14" x14ac:dyDescent="0.25">
      <c r="A21" s="283" t="s">
        <v>8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4" x14ac:dyDescent="0.25">
      <c r="A23" s="93"/>
      <c r="B23" s="93"/>
      <c r="C23" s="93"/>
      <c r="D23" s="28" t="s">
        <v>9</v>
      </c>
      <c r="E23" s="254" t="s">
        <v>10</v>
      </c>
      <c r="F23" s="255"/>
      <c r="G23" s="254" t="s">
        <v>11</v>
      </c>
      <c r="H23" s="255"/>
      <c r="I23" s="17"/>
      <c r="J23" s="17"/>
    </row>
    <row r="24" spans="1:14" x14ac:dyDescent="0.25">
      <c r="A24" s="36"/>
      <c r="B24" s="36"/>
      <c r="C24" s="36"/>
      <c r="D24" s="249" t="s">
        <v>12</v>
      </c>
      <c r="E24" s="248" t="s">
        <v>4</v>
      </c>
      <c r="F24" s="199" t="s">
        <v>42</v>
      </c>
      <c r="G24" s="299" t="s">
        <v>3</v>
      </c>
      <c r="H24" s="300"/>
    </row>
    <row r="25" spans="1:14" x14ac:dyDescent="0.25">
      <c r="D25" s="97">
        <f>J19</f>
        <v>0.66286666666666672</v>
      </c>
      <c r="E25" s="19">
        <v>0.8</v>
      </c>
      <c r="F25" s="20">
        <v>0.2</v>
      </c>
      <c r="G25" s="279">
        <v>1</v>
      </c>
      <c r="H25" s="280"/>
    </row>
    <row r="26" spans="1:14" x14ac:dyDescent="0.25">
      <c r="F26" s="21"/>
    </row>
    <row r="28" spans="1:14" x14ac:dyDescent="0.25">
      <c r="A28" s="274" t="s">
        <v>44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</row>
    <row r="29" spans="1:14" x14ac:dyDescent="0.25">
      <c r="A29" s="262"/>
      <c r="B29" s="262"/>
      <c r="C29" s="262"/>
      <c r="D29" s="262"/>
      <c r="E29" s="262"/>
      <c r="F29" s="262"/>
      <c r="G29" s="262"/>
      <c r="H29" s="262"/>
      <c r="I29" s="17"/>
      <c r="J29" s="17"/>
    </row>
    <row r="30" spans="1:14" x14ac:dyDescent="0.25">
      <c r="A30" s="296" t="s">
        <v>45</v>
      </c>
      <c r="B30" s="297"/>
      <c r="D30" s="274" t="s">
        <v>46</v>
      </c>
      <c r="E30" s="274"/>
      <c r="F30" s="21"/>
      <c r="G30" s="298" t="s">
        <v>50</v>
      </c>
      <c r="H30" s="298"/>
      <c r="I30" s="93"/>
      <c r="J30" s="104"/>
      <c r="K30" s="104" t="s">
        <v>51</v>
      </c>
    </row>
    <row r="31" spans="1:14" x14ac:dyDescent="0.25">
      <c r="A31" s="118" t="s">
        <v>31</v>
      </c>
      <c r="B31" s="103">
        <v>0.4</v>
      </c>
      <c r="D31" s="25" t="s">
        <v>31</v>
      </c>
      <c r="E31" s="105">
        <v>0.3</v>
      </c>
      <c r="F31" s="24"/>
      <c r="G31" s="25" t="s">
        <v>31</v>
      </c>
      <c r="H31" s="105">
        <v>0.15</v>
      </c>
      <c r="I31" s="18"/>
      <c r="J31" s="25" t="s">
        <v>31</v>
      </c>
      <c r="K31" s="105">
        <v>0.25</v>
      </c>
    </row>
    <row r="32" spans="1:14" x14ac:dyDescent="0.25">
      <c r="A32" s="10" t="s">
        <v>42</v>
      </c>
      <c r="B32" s="20">
        <v>0.1</v>
      </c>
      <c r="D32" s="10" t="s">
        <v>42</v>
      </c>
      <c r="E32" s="20">
        <v>0.15</v>
      </c>
      <c r="G32" s="10" t="s">
        <v>42</v>
      </c>
      <c r="H32" s="20">
        <v>0.05</v>
      </c>
      <c r="I32" s="6"/>
      <c r="J32" s="10" t="s">
        <v>42</v>
      </c>
      <c r="K32" s="20">
        <v>0.08</v>
      </c>
    </row>
    <row r="33" spans="1:12" x14ac:dyDescent="0.25">
      <c r="A33" s="80"/>
      <c r="B33" s="80"/>
      <c r="C33" s="80"/>
      <c r="I33" s="6"/>
      <c r="J33" s="23"/>
    </row>
    <row r="34" spans="1:12" x14ac:dyDescent="0.25">
      <c r="A34" s="276"/>
      <c r="B34" s="276"/>
      <c r="C34" s="62"/>
    </row>
    <row r="35" spans="1:12" x14ac:dyDescent="0.25">
      <c r="A35" s="250" t="s">
        <v>174</v>
      </c>
      <c r="B35" s="250"/>
      <c r="C35" s="250"/>
      <c r="D35" s="250"/>
      <c r="E35" s="250"/>
      <c r="F35" s="250"/>
      <c r="G35" s="250"/>
      <c r="H35" s="250"/>
    </row>
    <row r="36" spans="1:12" x14ac:dyDescent="0.25">
      <c r="A36" s="295" t="s">
        <v>176</v>
      </c>
      <c r="B36" s="295"/>
      <c r="C36" s="295"/>
      <c r="D36" s="295"/>
      <c r="E36" s="143"/>
      <c r="F36" s="143"/>
      <c r="G36" s="143"/>
      <c r="H36" s="143"/>
    </row>
    <row r="37" spans="1:12" ht="21" x14ac:dyDescent="0.35">
      <c r="A37" s="292" t="s">
        <v>15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</row>
    <row r="38" spans="1:12" x14ac:dyDescent="0.25">
      <c r="A38" s="60"/>
      <c r="B38" s="71"/>
      <c r="C38" s="60"/>
      <c r="D38" s="143"/>
      <c r="E38" s="143"/>
      <c r="F38" s="143"/>
      <c r="G38" s="143"/>
      <c r="H38" s="143"/>
      <c r="I38" s="81"/>
      <c r="J38" s="81"/>
      <c r="K38" s="81"/>
      <c r="L38" s="81"/>
    </row>
    <row r="39" spans="1:12" ht="15.75" x14ac:dyDescent="0.25">
      <c r="A39" s="152" t="s">
        <v>63</v>
      </c>
      <c r="B39" s="153" t="s">
        <v>31</v>
      </c>
      <c r="C39" s="152" t="s">
        <v>42</v>
      </c>
      <c r="D39" s="143"/>
      <c r="E39" s="284" t="s">
        <v>17</v>
      </c>
      <c r="F39" s="284"/>
      <c r="G39" s="275"/>
      <c r="H39" s="80"/>
      <c r="I39" s="80"/>
      <c r="J39" s="80"/>
      <c r="K39" s="80"/>
      <c r="L39" s="80"/>
    </row>
    <row r="40" spans="1:12" x14ac:dyDescent="0.25">
      <c r="A40" s="144" t="s">
        <v>52</v>
      </c>
      <c r="B40" s="145">
        <v>3.2</v>
      </c>
      <c r="C40" s="145">
        <v>3.2</v>
      </c>
      <c r="D40" s="143"/>
      <c r="E40" s="64" t="s">
        <v>16</v>
      </c>
      <c r="F40" s="3" t="s">
        <v>13</v>
      </c>
      <c r="G40" s="64" t="s">
        <v>18</v>
      </c>
      <c r="H40" s="143"/>
      <c r="I40" s="245"/>
    </row>
    <row r="41" spans="1:12" x14ac:dyDescent="0.25">
      <c r="A41" s="146" t="s">
        <v>53</v>
      </c>
      <c r="B41" s="147">
        <v>2.15</v>
      </c>
      <c r="C41" s="147">
        <v>2.15</v>
      </c>
      <c r="D41" s="143"/>
      <c r="E41" s="31"/>
      <c r="G41" s="49"/>
      <c r="H41" s="143"/>
      <c r="I41" s="274" t="s">
        <v>173</v>
      </c>
      <c r="J41" s="274"/>
    </row>
    <row r="42" spans="1:12" x14ac:dyDescent="0.25">
      <c r="A42" s="146" t="s">
        <v>54</v>
      </c>
      <c r="B42" s="147">
        <v>0.2</v>
      </c>
      <c r="C42" s="147">
        <v>0.2</v>
      </c>
      <c r="D42" s="82"/>
      <c r="E42" s="31" t="s">
        <v>175</v>
      </c>
      <c r="F42" s="55">
        <v>1</v>
      </c>
      <c r="G42" s="65">
        <v>260</v>
      </c>
      <c r="I42" s="290">
        <v>4</v>
      </c>
      <c r="J42" s="291"/>
    </row>
    <row r="43" spans="1:12" x14ac:dyDescent="0.25">
      <c r="A43" s="146" t="s">
        <v>55</v>
      </c>
      <c r="B43" s="147">
        <v>0.7</v>
      </c>
      <c r="C43" s="147">
        <v>0.7</v>
      </c>
      <c r="D43" s="61"/>
      <c r="E43" s="185"/>
      <c r="F43" s="56"/>
      <c r="G43" s="183"/>
    </row>
    <row r="44" spans="1:12" x14ac:dyDescent="0.25">
      <c r="A44" s="146" t="s">
        <v>56</v>
      </c>
      <c r="B44" s="147">
        <f>(0.35*4)</f>
        <v>1.4</v>
      </c>
      <c r="C44" s="147">
        <f>(0.35*2)</f>
        <v>0.7</v>
      </c>
      <c r="E44" s="32"/>
      <c r="F44" s="184" t="s">
        <v>19</v>
      </c>
      <c r="G44" s="113">
        <f>SUM(G42:G43)</f>
        <v>260</v>
      </c>
    </row>
    <row r="45" spans="1:12" x14ac:dyDescent="0.25">
      <c r="A45" s="146" t="s">
        <v>57</v>
      </c>
      <c r="B45" s="147">
        <f>(0.15*2)</f>
        <v>0.3</v>
      </c>
      <c r="C45" s="147">
        <v>0.15</v>
      </c>
      <c r="G45" s="12"/>
    </row>
    <row r="46" spans="1:12" x14ac:dyDescent="0.25">
      <c r="A46" s="146" t="s">
        <v>58</v>
      </c>
      <c r="B46" s="147">
        <f>(0.3*6)</f>
        <v>1.7999999999999998</v>
      </c>
      <c r="C46" s="147">
        <f>(0.3*3)</f>
        <v>0.89999999999999991</v>
      </c>
      <c r="G46" s="63"/>
    </row>
    <row r="47" spans="1:12" x14ac:dyDescent="0.25">
      <c r="A47" s="146" t="s">
        <v>59</v>
      </c>
      <c r="B47" s="147">
        <f>(0.4*2)</f>
        <v>0.8</v>
      </c>
      <c r="C47" s="147">
        <f>0.4</f>
        <v>0.4</v>
      </c>
      <c r="E47" s="293" t="s">
        <v>35</v>
      </c>
      <c r="F47" s="293"/>
      <c r="G47" s="67" t="s">
        <v>36</v>
      </c>
    </row>
    <row r="48" spans="1:12" x14ac:dyDescent="0.25">
      <c r="A48" s="146" t="s">
        <v>60</v>
      </c>
      <c r="B48" s="147">
        <v>0.8</v>
      </c>
      <c r="C48" s="147">
        <v>0.8</v>
      </c>
      <c r="E48" s="254" t="s">
        <v>6</v>
      </c>
      <c r="F48" s="294"/>
      <c r="G48" s="192">
        <v>250</v>
      </c>
    </row>
    <row r="49" spans="1:12" x14ac:dyDescent="0.25">
      <c r="A49" s="148" t="s">
        <v>61</v>
      </c>
      <c r="B49" s="149">
        <f>(3.31*2)</f>
        <v>6.62</v>
      </c>
      <c r="C49" s="149">
        <v>3.31</v>
      </c>
      <c r="E49" s="12"/>
      <c r="F49" s="74"/>
      <c r="G49" s="44"/>
    </row>
    <row r="50" spans="1:12" x14ac:dyDescent="0.25">
      <c r="B50" s="49"/>
      <c r="C50" s="49"/>
      <c r="D50" s="36"/>
      <c r="E50" s="201"/>
      <c r="F50" s="195"/>
      <c r="G50" s="44"/>
    </row>
    <row r="51" spans="1:12" x14ac:dyDescent="0.25">
      <c r="A51" s="151" t="s">
        <v>62</v>
      </c>
      <c r="B51" s="51">
        <v>16.350000000000001</v>
      </c>
      <c r="C51" s="51">
        <v>11.7</v>
      </c>
      <c r="D51" s="30"/>
      <c r="E51" s="289" t="s">
        <v>168</v>
      </c>
      <c r="F51" s="289"/>
      <c r="G51" s="233"/>
    </row>
    <row r="52" spans="1:12" x14ac:dyDescent="0.25">
      <c r="E52" s="25" t="s">
        <v>4</v>
      </c>
      <c r="F52" s="105">
        <v>0.8</v>
      </c>
    </row>
    <row r="53" spans="1:12" x14ac:dyDescent="0.25">
      <c r="E53" s="204" t="s">
        <v>42</v>
      </c>
      <c r="F53" s="20">
        <v>0.7</v>
      </c>
    </row>
    <row r="55" spans="1:12" ht="21" x14ac:dyDescent="0.35">
      <c r="A55" s="53"/>
      <c r="B55" s="53"/>
      <c r="C55" s="53"/>
      <c r="D55" s="53"/>
      <c r="E55" s="53"/>
      <c r="F55" s="181" t="s">
        <v>64</v>
      </c>
      <c r="G55" s="53"/>
      <c r="H55" s="53"/>
      <c r="I55" s="53"/>
      <c r="J55" s="53"/>
      <c r="K55" s="53"/>
      <c r="L55" s="53"/>
    </row>
    <row r="57" spans="1:12" x14ac:dyDescent="0.25">
      <c r="A57" s="60" t="s">
        <v>107</v>
      </c>
      <c r="B57" s="71">
        <f>(302.52*12)</f>
        <v>3630.24</v>
      </c>
    </row>
    <row r="58" spans="1:12" x14ac:dyDescent="0.25">
      <c r="A58" s="60" t="s">
        <v>117</v>
      </c>
      <c r="B58" s="71">
        <f>(80*12)</f>
        <v>960</v>
      </c>
    </row>
    <row r="59" spans="1:12" x14ac:dyDescent="0.25">
      <c r="A59" s="60" t="s">
        <v>53</v>
      </c>
      <c r="B59" s="71">
        <f>(8*12)</f>
        <v>96</v>
      </c>
    </row>
    <row r="60" spans="1:12" x14ac:dyDescent="0.25">
      <c r="A60" s="60" t="s">
        <v>108</v>
      </c>
      <c r="B60" s="71">
        <v>1000</v>
      </c>
    </row>
    <row r="61" spans="1:12" x14ac:dyDescent="0.25">
      <c r="A61" s="60" t="s">
        <v>109</v>
      </c>
      <c r="B61" s="71">
        <f>(30*12)</f>
        <v>360</v>
      </c>
    </row>
    <row r="62" spans="1:12" x14ac:dyDescent="0.25">
      <c r="A62" s="58" t="s">
        <v>110</v>
      </c>
      <c r="B62" s="72">
        <f>(29*12)</f>
        <v>348</v>
      </c>
    </row>
    <row r="63" spans="1:12" x14ac:dyDescent="0.25">
      <c r="A63" s="58" t="s">
        <v>111</v>
      </c>
      <c r="B63" s="72">
        <f>(97.53*12)</f>
        <v>1170.3600000000001</v>
      </c>
    </row>
    <row r="64" spans="1:12" x14ac:dyDescent="0.25">
      <c r="A64" s="58" t="s">
        <v>112</v>
      </c>
      <c r="B64" s="72">
        <f>(35*12)</f>
        <v>420</v>
      </c>
    </row>
    <row r="65" spans="1:12" x14ac:dyDescent="0.25">
      <c r="A65" s="76" t="s">
        <v>113</v>
      </c>
      <c r="B65" s="6">
        <f>(30*12)</f>
        <v>360</v>
      </c>
    </row>
    <row r="66" spans="1:12" x14ac:dyDescent="0.25">
      <c r="A66" s="76" t="s">
        <v>114</v>
      </c>
      <c r="B66" s="6">
        <v>260</v>
      </c>
    </row>
    <row r="67" spans="1:12" x14ac:dyDescent="0.25">
      <c r="A67" s="60" t="s">
        <v>115</v>
      </c>
      <c r="B67" s="71">
        <f>(46.5*6)</f>
        <v>279</v>
      </c>
      <c r="D67" s="35"/>
    </row>
    <row r="68" spans="1:12" x14ac:dyDescent="0.25">
      <c r="A68" s="58" t="s">
        <v>116</v>
      </c>
      <c r="B68" s="6">
        <v>213.1</v>
      </c>
      <c r="D68" s="35"/>
    </row>
    <row r="69" spans="1:12" x14ac:dyDescent="0.25">
      <c r="D69" s="35"/>
    </row>
    <row r="70" spans="1:12" x14ac:dyDescent="0.25">
      <c r="A70" s="53"/>
      <c r="B70" s="53"/>
      <c r="C70" s="53"/>
      <c r="D70" s="251"/>
      <c r="E70" s="53"/>
      <c r="F70" s="53"/>
      <c r="G70" s="53"/>
      <c r="H70" s="53"/>
      <c r="I70" s="53"/>
      <c r="J70" s="53"/>
      <c r="K70" s="53"/>
      <c r="L70" s="53"/>
    </row>
    <row r="71" spans="1:12" x14ac:dyDescent="0.25">
      <c r="D71" s="35"/>
    </row>
    <row r="72" spans="1:12" x14ac:dyDescent="0.25">
      <c r="D72" s="35"/>
    </row>
    <row r="73" spans="1:12" x14ac:dyDescent="0.25">
      <c r="D73" s="35"/>
    </row>
    <row r="74" spans="1:12" x14ac:dyDescent="0.25">
      <c r="D74" s="35"/>
    </row>
    <row r="75" spans="1:12" x14ac:dyDescent="0.25">
      <c r="D75" s="35"/>
    </row>
    <row r="76" spans="1:12" x14ac:dyDescent="0.25">
      <c r="D76" s="35"/>
    </row>
  </sheetData>
  <mergeCells count="31">
    <mergeCell ref="E51:F51"/>
    <mergeCell ref="I41:J41"/>
    <mergeCell ref="I42:J42"/>
    <mergeCell ref="G23:H23"/>
    <mergeCell ref="A37:L37"/>
    <mergeCell ref="E39:G39"/>
    <mergeCell ref="E47:F47"/>
    <mergeCell ref="E48:F48"/>
    <mergeCell ref="A29:H29"/>
    <mergeCell ref="D30:E30"/>
    <mergeCell ref="A36:D36"/>
    <mergeCell ref="A28:L28"/>
    <mergeCell ref="A30:B30"/>
    <mergeCell ref="G30:H30"/>
    <mergeCell ref="G24:H24"/>
    <mergeCell ref="A34:B34"/>
    <mergeCell ref="M2:N2"/>
    <mergeCell ref="A3:B3"/>
    <mergeCell ref="G25:H25"/>
    <mergeCell ref="A10:B10"/>
    <mergeCell ref="A20:L20"/>
    <mergeCell ref="A21:L21"/>
    <mergeCell ref="I3:J3"/>
    <mergeCell ref="D9:F9"/>
    <mergeCell ref="E10:F10"/>
    <mergeCell ref="E11:F11"/>
    <mergeCell ref="A1:L1"/>
    <mergeCell ref="D3:G3"/>
    <mergeCell ref="A11:B11"/>
    <mergeCell ref="E23:F23"/>
    <mergeCell ref="A4:B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F876-33D1-4A89-94CB-EEC113F3CB8F}">
  <dimension ref="A1:I45"/>
  <sheetViews>
    <sheetView workbookViewId="0">
      <selection activeCell="B44" sqref="B44"/>
    </sheetView>
  </sheetViews>
  <sheetFormatPr baseColWidth="10" defaultRowHeight="15" x14ac:dyDescent="0.25"/>
  <cols>
    <col min="1" max="1" width="19.140625" customWidth="1"/>
    <col min="2" max="2" width="16.28515625" customWidth="1"/>
    <col min="4" max="4" width="14.85546875" customWidth="1"/>
    <col min="9" max="9" width="12.7109375" customWidth="1"/>
  </cols>
  <sheetData>
    <row r="1" spans="1:9" ht="21" x14ac:dyDescent="0.35">
      <c r="A1" s="302" t="s">
        <v>20</v>
      </c>
      <c r="B1" s="302"/>
      <c r="C1" s="302"/>
      <c r="D1" s="302"/>
      <c r="E1" s="302"/>
      <c r="F1" s="302"/>
      <c r="G1" s="302"/>
      <c r="H1" s="302"/>
      <c r="I1" s="302"/>
    </row>
    <row r="3" spans="1:9" x14ac:dyDescent="0.25">
      <c r="A3" s="303" t="s">
        <v>8</v>
      </c>
      <c r="B3" s="284"/>
      <c r="C3" s="284"/>
      <c r="D3" s="284"/>
      <c r="E3" s="284"/>
      <c r="F3" s="275"/>
      <c r="G3" s="275"/>
      <c r="H3" s="275"/>
      <c r="I3" s="53"/>
    </row>
    <row r="4" spans="1:9" x14ac:dyDescent="0.25">
      <c r="A4" s="47" t="s">
        <v>10</v>
      </c>
      <c r="B4" s="64" t="s">
        <v>26</v>
      </c>
      <c r="C4" s="64" t="s">
        <v>27</v>
      </c>
      <c r="D4" s="64" t="s">
        <v>28</v>
      </c>
      <c r="E4" s="25" t="s">
        <v>29</v>
      </c>
      <c r="F4" s="64" t="s">
        <v>40</v>
      </c>
      <c r="G4" s="139" t="s">
        <v>30</v>
      </c>
      <c r="H4" s="84"/>
      <c r="I4" s="83"/>
    </row>
    <row r="5" spans="1:9" x14ac:dyDescent="0.25">
      <c r="A5" s="79" t="s">
        <v>31</v>
      </c>
      <c r="B5" s="132">
        <f>(80*DATOS!J19)/100</f>
        <v>0.53029333333333339</v>
      </c>
      <c r="C5" s="86">
        <v>3</v>
      </c>
      <c r="D5" s="85">
        <f>B5*C5</f>
        <v>1.5908800000000003</v>
      </c>
      <c r="E5" s="88">
        <f>D5*31</f>
        <v>49.317280000000011</v>
      </c>
      <c r="F5" s="124">
        <f>E5*12</f>
        <v>591.80736000000013</v>
      </c>
      <c r="G5" s="130">
        <f>F5*2</f>
        <v>1183.6147200000003</v>
      </c>
      <c r="H5" s="76"/>
      <c r="I5" s="15"/>
    </row>
    <row r="6" spans="1:9" x14ac:dyDescent="0.25">
      <c r="A6" s="75" t="s">
        <v>42</v>
      </c>
      <c r="B6" s="133">
        <f>(20*DATOS!J19)/100</f>
        <v>0.13257333333333335</v>
      </c>
      <c r="C6" s="31">
        <v>3</v>
      </c>
      <c r="D6" s="135">
        <f t="shared" ref="D6" si="0">B6*C6</f>
        <v>0.39772000000000007</v>
      </c>
      <c r="E6" s="130">
        <f>D6*31</f>
        <v>12.329320000000003</v>
      </c>
      <c r="F6" s="125">
        <f>E6*12</f>
        <v>147.95184000000003</v>
      </c>
      <c r="G6" s="138">
        <f>F6</f>
        <v>147.95184000000003</v>
      </c>
      <c r="H6" s="37"/>
    </row>
    <row r="7" spans="1:9" x14ac:dyDescent="0.25">
      <c r="A7" s="123" t="s">
        <v>19</v>
      </c>
      <c r="B7" s="134">
        <v>0.66</v>
      </c>
      <c r="C7" s="91">
        <f t="shared" ref="C7:E7" si="1">SUM(C5:C6)</f>
        <v>6</v>
      </c>
      <c r="D7" s="230">
        <f>SUM(D5:D6)</f>
        <v>1.9886000000000004</v>
      </c>
      <c r="E7" s="136">
        <f t="shared" si="1"/>
        <v>61.646600000000014</v>
      </c>
      <c r="F7" s="126">
        <f>SUM(F5:F6)</f>
        <v>739.75920000000019</v>
      </c>
      <c r="G7" s="136">
        <f>SUM(G5:G6)</f>
        <v>1331.5665600000002</v>
      </c>
      <c r="H7" s="37"/>
    </row>
    <row r="8" spans="1:9" x14ac:dyDescent="0.25">
      <c r="A8" s="22" t="s">
        <v>7</v>
      </c>
      <c r="B8" s="127" t="s">
        <v>27</v>
      </c>
      <c r="C8" s="127" t="s">
        <v>14</v>
      </c>
      <c r="D8" s="127" t="s">
        <v>19</v>
      </c>
      <c r="E8" s="36"/>
      <c r="F8" s="89"/>
    </row>
    <row r="9" spans="1:9" x14ac:dyDescent="0.25">
      <c r="A9" s="86" t="s">
        <v>31</v>
      </c>
      <c r="B9" s="124">
        <f>F5+H5</f>
        <v>591.80736000000013</v>
      </c>
      <c r="C9" s="92">
        <f>DATOS!E10</f>
        <v>50.666666666666664</v>
      </c>
      <c r="D9" s="66">
        <f>B9*C9</f>
        <v>29984.906240000004</v>
      </c>
    </row>
    <row r="10" spans="1:9" x14ac:dyDescent="0.25">
      <c r="A10" s="31" t="s">
        <v>42</v>
      </c>
      <c r="B10" s="125">
        <f>F6</f>
        <v>147.95184000000003</v>
      </c>
      <c r="C10" s="65">
        <f>DATOS!E11</f>
        <v>43</v>
      </c>
      <c r="D10" s="128">
        <f>B10*C10</f>
        <v>6361.9291200000016</v>
      </c>
    </row>
    <row r="11" spans="1:9" x14ac:dyDescent="0.25">
      <c r="A11" s="87" t="s">
        <v>19</v>
      </c>
      <c r="B11" s="137">
        <f>SUM(B9:B10)</f>
        <v>739.75920000000019</v>
      </c>
      <c r="C11" s="131"/>
      <c r="D11" s="129">
        <f>SUM(D9:D10)</f>
        <v>36346.835360000005</v>
      </c>
    </row>
    <row r="12" spans="1:9" x14ac:dyDescent="0.25">
      <c r="A12" s="15"/>
      <c r="B12" s="12"/>
      <c r="C12" s="12"/>
      <c r="D12" s="12"/>
      <c r="E12" s="12"/>
      <c r="F12" s="15"/>
    </row>
    <row r="13" spans="1:9" x14ac:dyDescent="0.25">
      <c r="A13" s="304" t="s">
        <v>44</v>
      </c>
      <c r="B13" s="304"/>
      <c r="C13" s="304"/>
      <c r="D13" s="304"/>
      <c r="E13" s="304"/>
      <c r="F13" s="304"/>
      <c r="G13" s="304"/>
      <c r="H13" s="304"/>
      <c r="I13" s="304"/>
    </row>
    <row r="16" spans="1:9" x14ac:dyDescent="0.25">
      <c r="A16" s="274" t="s">
        <v>45</v>
      </c>
      <c r="B16" s="274"/>
      <c r="C16" s="274"/>
      <c r="D16" s="274"/>
      <c r="E16" s="274"/>
      <c r="F16" s="274"/>
      <c r="G16" s="274"/>
      <c r="H16" s="274"/>
      <c r="I16" s="274"/>
    </row>
    <row r="18" spans="1:9" x14ac:dyDescent="0.25">
      <c r="A18" s="110" t="s">
        <v>47</v>
      </c>
      <c r="B18" s="111" t="s">
        <v>45</v>
      </c>
      <c r="C18" s="110" t="s">
        <v>177</v>
      </c>
      <c r="D18" s="110" t="s">
        <v>178</v>
      </c>
      <c r="E18" s="98" t="s">
        <v>14</v>
      </c>
      <c r="F18" s="112" t="s">
        <v>19</v>
      </c>
    </row>
    <row r="19" spans="1:9" x14ac:dyDescent="0.25">
      <c r="A19" s="25" t="s">
        <v>31</v>
      </c>
      <c r="B19" s="114">
        <v>0.4</v>
      </c>
      <c r="C19" s="115">
        <f>G5</f>
        <v>1183.6147200000003</v>
      </c>
      <c r="D19" s="115">
        <f>C19*B19</f>
        <v>473.44588800000014</v>
      </c>
      <c r="E19" s="194">
        <v>1.2</v>
      </c>
      <c r="F19" s="117">
        <f>D19*E19</f>
        <v>568.13506560000019</v>
      </c>
    </row>
    <row r="20" spans="1:9" x14ac:dyDescent="0.25">
      <c r="A20" s="10" t="s">
        <v>42</v>
      </c>
      <c r="B20" s="56">
        <v>0.1</v>
      </c>
      <c r="C20" s="99">
        <f>G6</f>
        <v>147.95184000000003</v>
      </c>
      <c r="D20" s="99">
        <f>C20*B20</f>
        <v>14.795184000000004</v>
      </c>
      <c r="E20" s="6">
        <v>1.2</v>
      </c>
      <c r="F20" s="122">
        <f>D20*E20</f>
        <v>17.754220800000006</v>
      </c>
    </row>
    <row r="21" spans="1:9" x14ac:dyDescent="0.25">
      <c r="A21" s="52"/>
      <c r="B21" s="36"/>
      <c r="C21" s="36"/>
      <c r="D21" s="34"/>
      <c r="E21" s="77" t="s">
        <v>32</v>
      </c>
      <c r="F21" s="121">
        <f>SUM(F19:F20)</f>
        <v>585.88928640000017</v>
      </c>
    </row>
    <row r="23" spans="1:9" x14ac:dyDescent="0.25">
      <c r="A23" s="274" t="s">
        <v>46</v>
      </c>
      <c r="B23" s="274"/>
      <c r="C23" s="274"/>
      <c r="D23" s="274"/>
      <c r="E23" s="274"/>
      <c r="F23" s="274"/>
      <c r="G23" s="274"/>
      <c r="H23" s="274"/>
      <c r="I23" s="274"/>
    </row>
    <row r="25" spans="1:9" x14ac:dyDescent="0.25">
      <c r="A25" s="101" t="s">
        <v>48</v>
      </c>
      <c r="B25" s="101" t="s">
        <v>49</v>
      </c>
      <c r="C25" s="101" t="s">
        <v>177</v>
      </c>
      <c r="D25" s="101" t="s">
        <v>179</v>
      </c>
      <c r="E25" s="101" t="s">
        <v>14</v>
      </c>
      <c r="F25" s="101" t="s">
        <v>19</v>
      </c>
    </row>
    <row r="26" spans="1:9" x14ac:dyDescent="0.25">
      <c r="A26" s="109" t="s">
        <v>31</v>
      </c>
      <c r="B26" s="55">
        <f>DATOS!E31</f>
        <v>0.3</v>
      </c>
      <c r="C26" s="106">
        <f>G5</f>
        <v>1183.6147200000003</v>
      </c>
      <c r="D26" s="106">
        <f>C26*B26</f>
        <v>355.08441600000009</v>
      </c>
      <c r="E26" s="63">
        <v>4</v>
      </c>
      <c r="F26" s="107">
        <f>D26*E26</f>
        <v>1420.3376640000004</v>
      </c>
    </row>
    <row r="27" spans="1:9" x14ac:dyDescent="0.25">
      <c r="A27" s="10" t="s">
        <v>42</v>
      </c>
      <c r="B27" s="56">
        <f>DATOS!E32</f>
        <v>0.15</v>
      </c>
      <c r="C27" s="99">
        <f>G6</f>
        <v>147.95184000000003</v>
      </c>
      <c r="D27" s="99">
        <f>C27*B27</f>
        <v>22.192776000000006</v>
      </c>
      <c r="E27" s="63">
        <v>4</v>
      </c>
      <c r="F27" s="107">
        <f>D27*E27</f>
        <v>88.771104000000022</v>
      </c>
    </row>
    <row r="28" spans="1:9" x14ac:dyDescent="0.25">
      <c r="E28" s="77" t="s">
        <v>19</v>
      </c>
      <c r="F28" s="121">
        <f>SUM(F26:F27)</f>
        <v>1509.1087680000003</v>
      </c>
    </row>
    <row r="31" spans="1:9" x14ac:dyDescent="0.25">
      <c r="A31" s="274" t="s">
        <v>50</v>
      </c>
      <c r="B31" s="274"/>
      <c r="C31" s="274"/>
      <c r="D31" s="274"/>
      <c r="E31" s="274"/>
      <c r="F31" s="274"/>
      <c r="G31" s="274"/>
      <c r="H31" s="274"/>
      <c r="I31" s="274"/>
    </row>
    <row r="33" spans="1:9" x14ac:dyDescent="0.25">
      <c r="A33" s="98" t="s">
        <v>47</v>
      </c>
      <c r="B33" s="98" t="s">
        <v>49</v>
      </c>
      <c r="C33" s="98" t="s">
        <v>177</v>
      </c>
      <c r="D33" s="98" t="s">
        <v>179</v>
      </c>
      <c r="E33" s="98" t="s">
        <v>14</v>
      </c>
      <c r="F33" s="98" t="s">
        <v>32</v>
      </c>
    </row>
    <row r="34" spans="1:9" x14ac:dyDescent="0.25">
      <c r="A34" s="25" t="s">
        <v>31</v>
      </c>
      <c r="B34" s="114">
        <f>DATOS!H31</f>
        <v>0.15</v>
      </c>
      <c r="C34" s="115">
        <f>C26</f>
        <v>1183.6147200000003</v>
      </c>
      <c r="D34" s="115">
        <f>C34*B34</f>
        <v>177.54220800000004</v>
      </c>
      <c r="E34" s="116">
        <v>10</v>
      </c>
      <c r="F34" s="119">
        <f>D34*E34</f>
        <v>1775.4220800000005</v>
      </c>
    </row>
    <row r="35" spans="1:9" x14ac:dyDescent="0.25">
      <c r="A35" s="10" t="s">
        <v>42</v>
      </c>
      <c r="B35" s="56">
        <f>DATOS!H32</f>
        <v>0.05</v>
      </c>
      <c r="C35" s="99">
        <f>C27</f>
        <v>147.95184000000003</v>
      </c>
      <c r="D35" s="99">
        <f>C35*B35</f>
        <v>7.3975920000000022</v>
      </c>
      <c r="E35" s="100">
        <v>10</v>
      </c>
      <c r="F35" s="108">
        <f>D35*E35</f>
        <v>73.975920000000016</v>
      </c>
    </row>
    <row r="36" spans="1:9" x14ac:dyDescent="0.25">
      <c r="E36" s="120" t="s">
        <v>19</v>
      </c>
      <c r="F36" s="121">
        <f>SUM(F34:F35)</f>
        <v>1849.3980000000006</v>
      </c>
    </row>
    <row r="39" spans="1:9" x14ac:dyDescent="0.25">
      <c r="A39" s="301"/>
      <c r="B39" s="301"/>
      <c r="C39" s="301"/>
      <c r="D39" s="301"/>
      <c r="E39" s="301"/>
      <c r="F39" s="301"/>
      <c r="G39" s="301"/>
      <c r="H39" s="301"/>
      <c r="I39" s="301"/>
    </row>
    <row r="43" spans="1:9" ht="15.75" thickBot="1" x14ac:dyDescent="0.3"/>
    <row r="44" spans="1:9" x14ac:dyDescent="0.25">
      <c r="A44" s="57" t="s">
        <v>34</v>
      </c>
      <c r="B44" s="140">
        <f>G7</f>
        <v>1331.5665600000002</v>
      </c>
    </row>
    <row r="45" spans="1:9" ht="15.75" thickBot="1" x14ac:dyDescent="0.3">
      <c r="A45" s="231" t="s">
        <v>166</v>
      </c>
      <c r="B45" s="142">
        <f>D11+F21+F28+F36</f>
        <v>40291.231414400005</v>
      </c>
    </row>
  </sheetData>
  <mergeCells count="7">
    <mergeCell ref="A23:I23"/>
    <mergeCell ref="A31:I31"/>
    <mergeCell ref="A39:I39"/>
    <mergeCell ref="A1:I1"/>
    <mergeCell ref="A3:H3"/>
    <mergeCell ref="A13:I13"/>
    <mergeCell ref="A16:I1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A404-450D-4763-B9A0-05C0A741063E}">
  <dimension ref="A1:L59"/>
  <sheetViews>
    <sheetView topLeftCell="A34" workbookViewId="0">
      <selection activeCell="B54" sqref="B54"/>
    </sheetView>
  </sheetViews>
  <sheetFormatPr baseColWidth="10" defaultRowHeight="15" x14ac:dyDescent="0.25"/>
  <cols>
    <col min="1" max="1" width="29.42578125" customWidth="1"/>
    <col min="2" max="2" width="17.140625" customWidth="1"/>
    <col min="3" max="3" width="12.85546875" customWidth="1"/>
    <col min="4" max="4" width="13.5703125" customWidth="1"/>
  </cols>
  <sheetData>
    <row r="1" spans="1:9" ht="21" x14ac:dyDescent="0.35">
      <c r="A1" s="302" t="s">
        <v>20</v>
      </c>
      <c r="B1" s="302"/>
      <c r="C1" s="302"/>
      <c r="D1" s="302"/>
      <c r="E1" s="302"/>
      <c r="F1" s="302"/>
      <c r="G1" s="302"/>
      <c r="H1" s="302"/>
      <c r="I1" s="302"/>
    </row>
    <row r="3" spans="1:9" x14ac:dyDescent="0.25">
      <c r="A3" s="303" t="s">
        <v>8</v>
      </c>
      <c r="B3" s="284"/>
      <c r="C3" s="284"/>
      <c r="D3" s="284"/>
      <c r="E3" s="284"/>
      <c r="F3" s="275"/>
      <c r="G3" s="275"/>
      <c r="H3" s="275"/>
      <c r="I3" s="53"/>
    </row>
    <row r="4" spans="1:9" x14ac:dyDescent="0.25">
      <c r="A4" s="47" t="s">
        <v>10</v>
      </c>
      <c r="B4" s="64" t="s">
        <v>26</v>
      </c>
      <c r="C4" s="64" t="s">
        <v>27</v>
      </c>
      <c r="D4" s="64" t="s">
        <v>28</v>
      </c>
      <c r="E4" s="25" t="s">
        <v>29</v>
      </c>
      <c r="F4" s="64" t="s">
        <v>40</v>
      </c>
      <c r="G4" s="139" t="s">
        <v>30</v>
      </c>
      <c r="H4" s="84"/>
      <c r="I4" s="83"/>
    </row>
    <row r="5" spans="1:9" x14ac:dyDescent="0.25">
      <c r="A5" s="79" t="s">
        <v>31</v>
      </c>
      <c r="B5" s="132">
        <f>(80*DATOS!J19)/100</f>
        <v>0.53029333333333339</v>
      </c>
      <c r="C5" s="86">
        <v>3</v>
      </c>
      <c r="D5" s="85">
        <f>B5*C5</f>
        <v>1.5908800000000003</v>
      </c>
      <c r="E5" s="88">
        <f>D5*31</f>
        <v>49.317280000000011</v>
      </c>
      <c r="F5" s="124">
        <f>E5*12</f>
        <v>591.80736000000013</v>
      </c>
      <c r="G5" s="130">
        <f>F5*2</f>
        <v>1183.6147200000003</v>
      </c>
      <c r="H5" s="76"/>
      <c r="I5" s="15"/>
    </row>
    <row r="6" spans="1:9" x14ac:dyDescent="0.25">
      <c r="A6" s="75" t="s">
        <v>42</v>
      </c>
      <c r="B6" s="133">
        <f>(20*DATOS!J19)/100</f>
        <v>0.13257333333333335</v>
      </c>
      <c r="C6" s="31">
        <v>3</v>
      </c>
      <c r="D6" s="135">
        <f t="shared" ref="D6" si="0">B6*C6</f>
        <v>0.39772000000000007</v>
      </c>
      <c r="E6" s="130">
        <f>D6*31</f>
        <v>12.329320000000003</v>
      </c>
      <c r="F6" s="125">
        <f>E6*12</f>
        <v>147.95184000000003</v>
      </c>
      <c r="G6" s="138">
        <f>F6</f>
        <v>147.95184000000003</v>
      </c>
      <c r="H6" s="37"/>
    </row>
    <row r="7" spans="1:9" x14ac:dyDescent="0.25">
      <c r="A7" s="123" t="s">
        <v>19</v>
      </c>
      <c r="B7" s="134">
        <v>0.66</v>
      </c>
      <c r="C7" s="91">
        <f t="shared" ref="C7:E7" si="1">SUM(C5:C6)</f>
        <v>6</v>
      </c>
      <c r="D7" s="230">
        <f>SUM(D5:D6)</f>
        <v>1.9886000000000004</v>
      </c>
      <c r="E7" s="136">
        <f t="shared" si="1"/>
        <v>61.646600000000014</v>
      </c>
      <c r="F7" s="126">
        <f>SUM(F5:F6)</f>
        <v>739.75920000000019</v>
      </c>
      <c r="G7" s="136">
        <f>SUM(G5:G6)</f>
        <v>1331.5665600000002</v>
      </c>
      <c r="H7" s="37"/>
    </row>
    <row r="8" spans="1:9" x14ac:dyDescent="0.25">
      <c r="A8" s="22" t="s">
        <v>7</v>
      </c>
      <c r="B8" s="127" t="s">
        <v>27</v>
      </c>
      <c r="C8" s="127" t="s">
        <v>14</v>
      </c>
      <c r="D8" s="127" t="s">
        <v>19</v>
      </c>
      <c r="F8" s="89"/>
    </row>
    <row r="9" spans="1:9" x14ac:dyDescent="0.25">
      <c r="A9" s="86" t="s">
        <v>31</v>
      </c>
      <c r="B9" s="124">
        <f>F5+H5</f>
        <v>591.80736000000013</v>
      </c>
      <c r="C9" s="232">
        <f>DATOS!B51</f>
        <v>16.350000000000001</v>
      </c>
      <c r="D9" s="66">
        <f>B9*C9</f>
        <v>9676.0503360000039</v>
      </c>
    </row>
    <row r="10" spans="1:9" x14ac:dyDescent="0.25">
      <c r="A10" s="31" t="s">
        <v>42</v>
      </c>
      <c r="B10" s="125">
        <f>F6</f>
        <v>147.95184000000003</v>
      </c>
      <c r="C10" s="149">
        <f>DATOS!C51</f>
        <v>11.7</v>
      </c>
      <c r="D10" s="128">
        <f>B10*C10</f>
        <v>1731.0365280000003</v>
      </c>
    </row>
    <row r="11" spans="1:9" x14ac:dyDescent="0.25">
      <c r="A11" s="87" t="s">
        <v>19</v>
      </c>
      <c r="B11" s="137">
        <f>SUM(B9:B10)</f>
        <v>739.75920000000019</v>
      </c>
      <c r="C11" s="131"/>
      <c r="D11" s="129">
        <f>SUM(D9:D10)</f>
        <v>11407.086864000004</v>
      </c>
    </row>
    <row r="12" spans="1:9" x14ac:dyDescent="0.25">
      <c r="A12" s="58"/>
      <c r="B12" s="72"/>
    </row>
    <row r="13" spans="1:9" x14ac:dyDescent="0.25">
      <c r="A13" s="59"/>
      <c r="B13" s="6"/>
    </row>
    <row r="14" spans="1:9" x14ac:dyDescent="0.25">
      <c r="A14" s="298" t="s">
        <v>64</v>
      </c>
      <c r="B14" s="298"/>
      <c r="C14" s="298"/>
      <c r="D14" s="298"/>
      <c r="E14" s="298"/>
      <c r="F14" s="298"/>
      <c r="G14" s="298"/>
      <c r="H14" s="298"/>
      <c r="I14" s="298"/>
    </row>
    <row r="15" spans="1:9" x14ac:dyDescent="0.25">
      <c r="A15" s="234" t="s">
        <v>169</v>
      </c>
      <c r="B15" s="234"/>
      <c r="C15" s="234"/>
      <c r="D15" s="234"/>
      <c r="E15" s="234"/>
      <c r="F15" s="234"/>
      <c r="G15" s="234"/>
      <c r="H15" s="234"/>
      <c r="I15" s="234"/>
    </row>
    <row r="16" spans="1:9" x14ac:dyDescent="0.25">
      <c r="A16" s="298" t="s">
        <v>170</v>
      </c>
      <c r="B16" s="298"/>
      <c r="C16" s="298"/>
      <c r="D16" s="298"/>
      <c r="E16" s="298"/>
      <c r="F16" s="298"/>
      <c r="G16" s="298"/>
      <c r="H16" s="298"/>
      <c r="I16" s="298"/>
    </row>
    <row r="17" spans="1:9" x14ac:dyDescent="0.25">
      <c r="A17" s="234"/>
      <c r="B17" s="234"/>
      <c r="C17" s="234"/>
      <c r="D17" s="234"/>
      <c r="E17" s="234"/>
      <c r="F17" s="234"/>
      <c r="G17" s="234"/>
      <c r="H17" s="234"/>
      <c r="I17" s="234"/>
    </row>
    <row r="18" spans="1:9" x14ac:dyDescent="0.25">
      <c r="A18" s="200" t="s">
        <v>171</v>
      </c>
      <c r="B18" s="200" t="s">
        <v>172</v>
      </c>
      <c r="C18" s="200" t="s">
        <v>43</v>
      </c>
      <c r="D18" s="200" t="s">
        <v>65</v>
      </c>
      <c r="E18" s="200" t="s">
        <v>19</v>
      </c>
      <c r="F18" s="234"/>
      <c r="G18" s="234"/>
      <c r="H18" s="234"/>
      <c r="I18" s="234"/>
    </row>
    <row r="19" spans="1:9" x14ac:dyDescent="0.25">
      <c r="A19" s="235" t="s">
        <v>31</v>
      </c>
      <c r="B19" s="241">
        <v>0.8</v>
      </c>
      <c r="C19" s="243">
        <f>(F5*GASTOS!B19)</f>
        <v>473.44588800000014</v>
      </c>
      <c r="D19" s="237">
        <v>4</v>
      </c>
      <c r="E19" s="238">
        <f>C19*D19</f>
        <v>1893.7835520000006</v>
      </c>
      <c r="F19" s="234"/>
      <c r="G19" s="234"/>
      <c r="H19" s="234"/>
      <c r="I19" s="234"/>
    </row>
    <row r="20" spans="1:9" x14ac:dyDescent="0.25">
      <c r="A20" s="236" t="s">
        <v>42</v>
      </c>
      <c r="B20" s="242">
        <v>0.7</v>
      </c>
      <c r="C20" s="244">
        <f>(F6*GASTOS!B20)</f>
        <v>103.56628800000001</v>
      </c>
      <c r="D20" s="239">
        <v>4</v>
      </c>
      <c r="E20" s="240">
        <f>C20*D20</f>
        <v>414.26515200000006</v>
      </c>
      <c r="F20" s="234"/>
      <c r="G20" s="234"/>
      <c r="H20" s="234"/>
      <c r="I20" s="234"/>
    </row>
    <row r="21" spans="1:9" x14ac:dyDescent="0.25">
      <c r="A21" s="234"/>
      <c r="B21" s="234"/>
      <c r="C21" s="234"/>
      <c r="D21" s="246" t="s">
        <v>32</v>
      </c>
      <c r="E21" s="247">
        <f>SUM(E19:E20)</f>
        <v>2308.0487040000007</v>
      </c>
      <c r="F21" s="234"/>
      <c r="G21" s="234"/>
      <c r="H21" s="234"/>
      <c r="I21" s="234"/>
    </row>
    <row r="22" spans="1:9" x14ac:dyDescent="0.25">
      <c r="A22" s="59"/>
      <c r="B22" s="6"/>
    </row>
    <row r="23" spans="1:9" x14ac:dyDescent="0.25">
      <c r="A23" s="274" t="s">
        <v>45</v>
      </c>
      <c r="B23" s="274"/>
      <c r="C23" s="274"/>
      <c r="D23" s="274"/>
      <c r="E23" s="274"/>
      <c r="F23" s="274"/>
      <c r="G23" s="274"/>
      <c r="H23" s="274"/>
      <c r="I23" s="274"/>
    </row>
    <row r="25" spans="1:9" x14ac:dyDescent="0.25">
      <c r="A25" s="110" t="s">
        <v>47</v>
      </c>
      <c r="B25" s="111" t="s">
        <v>45</v>
      </c>
      <c r="C25" s="110" t="s">
        <v>177</v>
      </c>
      <c r="D25" s="110" t="s">
        <v>180</v>
      </c>
      <c r="E25" s="98" t="s">
        <v>65</v>
      </c>
      <c r="F25" s="112" t="s">
        <v>19</v>
      </c>
    </row>
    <row r="26" spans="1:9" x14ac:dyDescent="0.25">
      <c r="A26" s="25" t="s">
        <v>31</v>
      </c>
      <c r="B26" s="114">
        <v>0.4</v>
      </c>
      <c r="C26" s="115">
        <f>G5</f>
        <v>1183.6147200000003</v>
      </c>
      <c r="D26" s="115">
        <f>C26*B26</f>
        <v>473.44588800000014</v>
      </c>
      <c r="E26" s="194">
        <v>0.4</v>
      </c>
      <c r="F26" s="154">
        <f>D26*E26</f>
        <v>189.37835520000007</v>
      </c>
    </row>
    <row r="27" spans="1:9" x14ac:dyDescent="0.25">
      <c r="A27" s="10" t="s">
        <v>42</v>
      </c>
      <c r="B27" s="56">
        <v>0.1</v>
      </c>
      <c r="C27" s="99">
        <f>G6</f>
        <v>147.95184000000003</v>
      </c>
      <c r="D27" s="99">
        <f>C27*B27</f>
        <v>14.795184000000004</v>
      </c>
      <c r="E27" s="6">
        <v>0.4</v>
      </c>
      <c r="F27" s="155">
        <f>D27*E27</f>
        <v>5.9180736000000023</v>
      </c>
    </row>
    <row r="28" spans="1:9" x14ac:dyDescent="0.25">
      <c r="A28" s="52"/>
      <c r="B28" s="36"/>
      <c r="C28" s="36"/>
      <c r="D28" s="34"/>
      <c r="E28" s="77" t="s">
        <v>19</v>
      </c>
      <c r="F28" s="121">
        <f>SUM(F26:F27)</f>
        <v>195.29642880000009</v>
      </c>
    </row>
    <row r="29" spans="1:9" x14ac:dyDescent="0.25">
      <c r="A29" s="46"/>
      <c r="B29" s="73"/>
      <c r="C29" s="55"/>
      <c r="D29" s="44"/>
      <c r="E29" s="29"/>
    </row>
    <row r="30" spans="1:9" x14ac:dyDescent="0.25">
      <c r="A30" s="45"/>
      <c r="B30" s="45"/>
      <c r="C30" s="12"/>
      <c r="D30" s="308"/>
      <c r="E30" s="308"/>
    </row>
    <row r="31" spans="1:9" x14ac:dyDescent="0.25">
      <c r="A31" s="274" t="s">
        <v>46</v>
      </c>
      <c r="B31" s="274"/>
      <c r="C31" s="274"/>
      <c r="D31" s="274"/>
      <c r="E31" s="274"/>
      <c r="F31" s="274"/>
      <c r="G31" s="274"/>
      <c r="H31" s="274"/>
      <c r="I31" s="274"/>
    </row>
    <row r="33" spans="1:12" x14ac:dyDescent="0.25">
      <c r="A33" s="101" t="s">
        <v>48</v>
      </c>
      <c r="B33" s="101" t="s">
        <v>49</v>
      </c>
      <c r="C33" s="101" t="s">
        <v>177</v>
      </c>
      <c r="D33" s="101" t="s">
        <v>180</v>
      </c>
      <c r="E33" s="101" t="s">
        <v>65</v>
      </c>
      <c r="F33" s="101" t="s">
        <v>19</v>
      </c>
    </row>
    <row r="34" spans="1:12" x14ac:dyDescent="0.25">
      <c r="A34" s="109" t="s">
        <v>31</v>
      </c>
      <c r="B34" s="55">
        <v>0.3</v>
      </c>
      <c r="C34" s="106">
        <f>INGRESOS!C26</f>
        <v>1183.6147200000003</v>
      </c>
      <c r="D34" s="106">
        <f>C34*B34</f>
        <v>355.08441600000009</v>
      </c>
      <c r="E34" s="6">
        <v>1.8</v>
      </c>
      <c r="F34" s="107">
        <f>D34*E34</f>
        <v>639.15194880000013</v>
      </c>
    </row>
    <row r="35" spans="1:12" x14ac:dyDescent="0.25">
      <c r="A35" s="10" t="s">
        <v>42</v>
      </c>
      <c r="B35" s="56">
        <v>0.15</v>
      </c>
      <c r="C35" s="99">
        <f>INGRESOS!C27</f>
        <v>147.95184000000003</v>
      </c>
      <c r="D35" s="99">
        <f>C35*B35</f>
        <v>22.192776000000006</v>
      </c>
      <c r="E35" s="6">
        <v>1.8</v>
      </c>
      <c r="F35" s="108">
        <f>D35*E35</f>
        <v>39.946996800000008</v>
      </c>
    </row>
    <row r="36" spans="1:12" x14ac:dyDescent="0.25">
      <c r="E36" s="78" t="s">
        <v>32</v>
      </c>
      <c r="F36" s="121">
        <f>SUM(F34:F35)</f>
        <v>679.09894560000009</v>
      </c>
    </row>
    <row r="37" spans="1:12" x14ac:dyDescent="0.25">
      <c r="A37" s="80"/>
      <c r="B37" s="80"/>
      <c r="C37" s="80"/>
      <c r="D37" s="80"/>
      <c r="E37" s="80"/>
      <c r="F37" s="80"/>
    </row>
    <row r="38" spans="1:12" x14ac:dyDescent="0.25">
      <c r="A38" s="274" t="s">
        <v>50</v>
      </c>
      <c r="B38" s="274"/>
      <c r="C38" s="274"/>
      <c r="D38" s="274"/>
      <c r="E38" s="274"/>
      <c r="F38" s="274"/>
      <c r="G38" s="274"/>
      <c r="H38" s="274"/>
      <c r="I38" s="274"/>
    </row>
    <row r="41" spans="1:12" x14ac:dyDescent="0.25">
      <c r="A41" s="98" t="s">
        <v>47</v>
      </c>
      <c r="B41" s="98" t="s">
        <v>49</v>
      </c>
      <c r="C41" s="98" t="s">
        <v>177</v>
      </c>
      <c r="D41" s="98" t="s">
        <v>180</v>
      </c>
      <c r="E41" s="98" t="s">
        <v>65</v>
      </c>
      <c r="F41" s="98" t="s">
        <v>32</v>
      </c>
      <c r="H41" s="80"/>
      <c r="I41" s="80"/>
      <c r="J41" s="80"/>
      <c r="K41" s="80"/>
      <c r="L41" s="80"/>
    </row>
    <row r="42" spans="1:12" x14ac:dyDescent="0.25">
      <c r="A42" s="25" t="s">
        <v>31</v>
      </c>
      <c r="B42" s="114">
        <v>0.15</v>
      </c>
      <c r="C42" s="115">
        <f>INGRESOS!C34</f>
        <v>1183.6147200000003</v>
      </c>
      <c r="D42" s="115">
        <f>C42*B42</f>
        <v>177.54220800000004</v>
      </c>
      <c r="E42" s="116">
        <v>6</v>
      </c>
      <c r="F42" s="119">
        <f>D42*E42</f>
        <v>1065.2532480000002</v>
      </c>
    </row>
    <row r="43" spans="1:12" x14ac:dyDescent="0.25">
      <c r="A43" s="10" t="s">
        <v>42</v>
      </c>
      <c r="B43" s="56">
        <v>0.05</v>
      </c>
      <c r="C43" s="99">
        <f>INGRESOS!C35</f>
        <v>147.95184000000003</v>
      </c>
      <c r="D43" s="99">
        <f>C43*B43</f>
        <v>7.3975920000000022</v>
      </c>
      <c r="E43" s="100">
        <v>6</v>
      </c>
      <c r="F43" s="108">
        <f>D43*E43</f>
        <v>44.385552000000011</v>
      </c>
    </row>
    <row r="44" spans="1:12" x14ac:dyDescent="0.25">
      <c r="E44" s="77" t="s">
        <v>32</v>
      </c>
      <c r="F44" s="121">
        <f>SUM(F42:F43)</f>
        <v>1109.6388000000002</v>
      </c>
    </row>
    <row r="47" spans="1:12" x14ac:dyDescent="0.25">
      <c r="A47" s="296" t="s">
        <v>35</v>
      </c>
      <c r="B47" s="305"/>
      <c r="C47" s="156" t="s">
        <v>36</v>
      </c>
      <c r="D47" s="157" t="s">
        <v>66</v>
      </c>
      <c r="E47" s="193"/>
      <c r="F47" s="193"/>
      <c r="G47" s="193"/>
      <c r="H47" s="193"/>
      <c r="I47" s="193"/>
    </row>
    <row r="48" spans="1:12" x14ac:dyDescent="0.25">
      <c r="A48" s="306" t="s">
        <v>6</v>
      </c>
      <c r="B48" s="307"/>
      <c r="C48" s="8">
        <v>250</v>
      </c>
      <c r="D48" s="158">
        <f>(C48*12)</f>
        <v>3000</v>
      </c>
    </row>
    <row r="54" spans="1:7" x14ac:dyDescent="0.25">
      <c r="A54" s="69" t="s">
        <v>37</v>
      </c>
      <c r="B54" s="68">
        <f>D11+E21+F28+F36+F44+D48</f>
        <v>18699.169742400009</v>
      </c>
    </row>
    <row r="59" spans="1:7" x14ac:dyDescent="0.25">
      <c r="G59" s="35"/>
    </row>
  </sheetData>
  <mergeCells count="10">
    <mergeCell ref="A47:B47"/>
    <mergeCell ref="A48:B48"/>
    <mergeCell ref="D30:E30"/>
    <mergeCell ref="A1:I1"/>
    <mergeCell ref="A3:H3"/>
    <mergeCell ref="A14:I14"/>
    <mergeCell ref="A23:I23"/>
    <mergeCell ref="A31:I31"/>
    <mergeCell ref="A38:I38"/>
    <mergeCell ref="A16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85E5-70DD-4C38-B7A5-1C0DF66F6A0F}">
  <dimension ref="A1:B43"/>
  <sheetViews>
    <sheetView tabSelected="1" topLeftCell="A31" workbookViewId="0">
      <selection activeCell="B4" sqref="B4"/>
    </sheetView>
  </sheetViews>
  <sheetFormatPr baseColWidth="10" defaultRowHeight="15" x14ac:dyDescent="0.25"/>
  <cols>
    <col min="1" max="1" width="35.7109375" customWidth="1"/>
    <col min="2" max="2" width="32.28515625" customWidth="1"/>
  </cols>
  <sheetData>
    <row r="1" spans="1:2" x14ac:dyDescent="0.25">
      <c r="A1" s="274" t="s">
        <v>105</v>
      </c>
      <c r="B1" s="309"/>
    </row>
    <row r="2" spans="1:2" x14ac:dyDescent="0.25">
      <c r="B2" s="64" t="s">
        <v>67</v>
      </c>
    </row>
    <row r="3" spans="1:2" x14ac:dyDescent="0.25">
      <c r="A3" s="159" t="s">
        <v>68</v>
      </c>
      <c r="B3" s="48">
        <f>DATOS!B13</f>
        <v>1116</v>
      </c>
    </row>
    <row r="4" spans="1:2" x14ac:dyDescent="0.25">
      <c r="A4" s="160" t="s">
        <v>69</v>
      </c>
      <c r="B4" s="180">
        <f>INGRESOS!F7</f>
        <v>739.75920000000019</v>
      </c>
    </row>
    <row r="5" spans="1:2" x14ac:dyDescent="0.25">
      <c r="A5" s="160" t="s">
        <v>70</v>
      </c>
      <c r="B5" s="161">
        <f>DATOS!J19</f>
        <v>0.66286666666666672</v>
      </c>
    </row>
    <row r="6" spans="1:2" x14ac:dyDescent="0.25">
      <c r="A6" s="160" t="s">
        <v>71</v>
      </c>
      <c r="B6" s="162">
        <f>INGRESOS!D11/INGRESOS!F7</f>
        <v>49.133333333333326</v>
      </c>
    </row>
    <row r="7" spans="1:2" x14ac:dyDescent="0.25">
      <c r="A7" s="160" t="s">
        <v>72</v>
      </c>
      <c r="B7" s="162">
        <f>INGRESOS!D11/USALI!B3</f>
        <v>32.568848888888894</v>
      </c>
    </row>
    <row r="8" spans="1:2" x14ac:dyDescent="0.25">
      <c r="A8" s="160" t="s">
        <v>73</v>
      </c>
      <c r="B8" s="162">
        <f>INGRESOS!D11/INGRESOS!F7</f>
        <v>49.133333333333326</v>
      </c>
    </row>
    <row r="9" spans="1:2" x14ac:dyDescent="0.25">
      <c r="A9" s="160" t="s">
        <v>74</v>
      </c>
      <c r="B9" s="162">
        <f>B14/B3</f>
        <v>36.103253955555559</v>
      </c>
    </row>
    <row r="10" spans="1:2" x14ac:dyDescent="0.25">
      <c r="A10" s="160" t="s">
        <v>75</v>
      </c>
      <c r="B10" s="162">
        <f>B14-B18/B3</f>
        <v>40274.475885956992</v>
      </c>
    </row>
    <row r="11" spans="1:2" x14ac:dyDescent="0.25">
      <c r="A11" s="296" t="s">
        <v>76</v>
      </c>
      <c r="B11" s="305"/>
    </row>
    <row r="12" spans="1:2" x14ac:dyDescent="0.25">
      <c r="A12" s="159" t="s">
        <v>77</v>
      </c>
      <c r="B12" s="54">
        <f>INGRESOS!D11</f>
        <v>36346.835360000005</v>
      </c>
    </row>
    <row r="13" spans="1:2" x14ac:dyDescent="0.25">
      <c r="A13" s="160" t="s">
        <v>78</v>
      </c>
      <c r="B13" s="162">
        <f>INGRESOS!F21+INGRESOS!F28+INGRESOS!F36</f>
        <v>3944.396054400001</v>
      </c>
    </row>
    <row r="14" spans="1:2" x14ac:dyDescent="0.25">
      <c r="A14" s="163" t="s">
        <v>79</v>
      </c>
      <c r="B14" s="131">
        <f>SUM(B12:B13)</f>
        <v>40291.231414400005</v>
      </c>
    </row>
    <row r="15" spans="1:2" x14ac:dyDescent="0.25">
      <c r="A15" s="296" t="s">
        <v>80</v>
      </c>
      <c r="B15" s="297"/>
    </row>
    <row r="16" spans="1:2" x14ac:dyDescent="0.25">
      <c r="A16" s="164" t="s">
        <v>33</v>
      </c>
      <c r="B16" s="54">
        <f>GASTOS!D11</f>
        <v>11407.086864000004</v>
      </c>
    </row>
    <row r="17" spans="1:2" x14ac:dyDescent="0.25">
      <c r="A17" s="164" t="s">
        <v>106</v>
      </c>
      <c r="B17" s="162">
        <f>GASTOS!E21+GASTOS!F28+GASTOS!F36+GASTOS!F44+GASTOS!D48</f>
        <v>7292.0828784000014</v>
      </c>
    </row>
    <row r="18" spans="1:2" x14ac:dyDescent="0.25">
      <c r="A18" s="165" t="s">
        <v>81</v>
      </c>
      <c r="B18" s="131">
        <f>SUM(B16:B17)</f>
        <v>18699.169742400005</v>
      </c>
    </row>
    <row r="19" spans="1:2" x14ac:dyDescent="0.25">
      <c r="A19" s="166" t="s">
        <v>82</v>
      </c>
      <c r="B19" s="68">
        <f>B14-B18</f>
        <v>21592.061672</v>
      </c>
    </row>
    <row r="20" spans="1:2" x14ac:dyDescent="0.25">
      <c r="A20" s="296" t="s">
        <v>83</v>
      </c>
      <c r="B20" s="305"/>
    </row>
    <row r="21" spans="1:2" x14ac:dyDescent="0.25">
      <c r="A21" s="159" t="s">
        <v>84</v>
      </c>
      <c r="B21" s="182">
        <f>DATOS!B65+DATOS!B61</f>
        <v>720</v>
      </c>
    </row>
    <row r="22" spans="1:2" x14ac:dyDescent="0.25">
      <c r="A22" s="167" t="s">
        <v>85</v>
      </c>
      <c r="B22" s="162">
        <f>DATOS!B62+DATOS!B64</f>
        <v>768</v>
      </c>
    </row>
    <row r="23" spans="1:2" x14ac:dyDescent="0.25">
      <c r="A23" s="167" t="s">
        <v>86</v>
      </c>
      <c r="B23" s="162">
        <f>DATOS!B60</f>
        <v>1000</v>
      </c>
    </row>
    <row r="24" spans="1:2" x14ac:dyDescent="0.25">
      <c r="A24" s="167" t="s">
        <v>167</v>
      </c>
      <c r="B24" s="162">
        <v>0</v>
      </c>
    </row>
    <row r="25" spans="1:2" x14ac:dyDescent="0.25">
      <c r="A25" s="167" t="s">
        <v>87</v>
      </c>
      <c r="B25" s="162">
        <f>DATOS!B58+DATOS!B59+DATOS!B67</f>
        <v>1335</v>
      </c>
    </row>
    <row r="26" spans="1:2" x14ac:dyDescent="0.25">
      <c r="A26" s="163" t="s">
        <v>88</v>
      </c>
      <c r="B26" s="131">
        <f>SUM(B21:B25)</f>
        <v>3823</v>
      </c>
    </row>
    <row r="27" spans="1:2" x14ac:dyDescent="0.25">
      <c r="A27" s="178" t="s">
        <v>89</v>
      </c>
      <c r="B27" s="50">
        <f>B19-B26</f>
        <v>17769.061672</v>
      </c>
    </row>
    <row r="28" spans="1:2" x14ac:dyDescent="0.25">
      <c r="A28" s="168" t="s">
        <v>90</v>
      </c>
      <c r="B28" s="27">
        <v>0</v>
      </c>
    </row>
    <row r="29" spans="1:2" x14ac:dyDescent="0.25">
      <c r="A29" s="169" t="s">
        <v>91</v>
      </c>
      <c r="B29" s="33"/>
    </row>
    <row r="30" spans="1:2" x14ac:dyDescent="0.25">
      <c r="A30" s="170" t="s">
        <v>92</v>
      </c>
      <c r="B30" s="131">
        <f>B27-B28</f>
        <v>17769.061672</v>
      </c>
    </row>
    <row r="31" spans="1:2" x14ac:dyDescent="0.25">
      <c r="A31" s="171" t="s">
        <v>93</v>
      </c>
      <c r="B31" s="172">
        <f>DATOS!B57</f>
        <v>3630.24</v>
      </c>
    </row>
    <row r="32" spans="1:2" x14ac:dyDescent="0.25">
      <c r="A32" s="173" t="s">
        <v>94</v>
      </c>
      <c r="B32" s="174">
        <f>DATOS!B68</f>
        <v>213.1</v>
      </c>
    </row>
    <row r="33" spans="1:2" x14ac:dyDescent="0.25">
      <c r="A33" s="173" t="s">
        <v>95</v>
      </c>
      <c r="B33" s="174">
        <f>DATOS!G44</f>
        <v>260</v>
      </c>
    </row>
    <row r="34" spans="1:2" x14ac:dyDescent="0.25">
      <c r="A34" s="175" t="s">
        <v>96</v>
      </c>
      <c r="B34" s="150">
        <v>0</v>
      </c>
    </row>
    <row r="35" spans="1:2" x14ac:dyDescent="0.25">
      <c r="A35" s="168" t="s">
        <v>97</v>
      </c>
      <c r="B35" s="102">
        <f>SUM(B31:B34)</f>
        <v>4103.34</v>
      </c>
    </row>
    <row r="36" spans="1:2" x14ac:dyDescent="0.25">
      <c r="A36" s="179" t="s">
        <v>98</v>
      </c>
      <c r="B36" s="50">
        <f>B30-B35</f>
        <v>13665.721672</v>
      </c>
    </row>
    <row r="37" spans="1:2" x14ac:dyDescent="0.25">
      <c r="A37" s="176" t="s">
        <v>99</v>
      </c>
      <c r="B37" s="27">
        <f>B36</f>
        <v>13665.721672</v>
      </c>
    </row>
    <row r="38" spans="1:2" x14ac:dyDescent="0.25">
      <c r="A38" s="176" t="s">
        <v>100</v>
      </c>
      <c r="B38" s="27">
        <f>DATOS!B63</f>
        <v>1170.3600000000001</v>
      </c>
    </row>
    <row r="39" spans="1:2" x14ac:dyDescent="0.25">
      <c r="A39" s="169" t="s">
        <v>101</v>
      </c>
      <c r="B39" s="48"/>
    </row>
    <row r="40" spans="1:2" x14ac:dyDescent="0.25">
      <c r="A40" s="170" t="s">
        <v>102</v>
      </c>
      <c r="B40" s="131">
        <f>B38</f>
        <v>1170.3600000000001</v>
      </c>
    </row>
    <row r="41" spans="1:2" x14ac:dyDescent="0.25">
      <c r="A41" s="176" t="s">
        <v>103</v>
      </c>
      <c r="B41" s="27">
        <f>B37-B40</f>
        <v>12495.361671999999</v>
      </c>
    </row>
    <row r="42" spans="1:2" x14ac:dyDescent="0.25">
      <c r="A42" s="176" t="s">
        <v>104</v>
      </c>
      <c r="B42" s="27">
        <f>B41*25%</f>
        <v>3123.8404179999998</v>
      </c>
    </row>
    <row r="43" spans="1:2" x14ac:dyDescent="0.25">
      <c r="A43" s="177" t="s">
        <v>19</v>
      </c>
      <c r="B43" s="50">
        <f>B41-B42</f>
        <v>9371.5212539999993</v>
      </c>
    </row>
  </sheetData>
  <mergeCells count="4">
    <mergeCell ref="A1:B1"/>
    <mergeCell ref="A11:B11"/>
    <mergeCell ref="A15:B15"/>
    <mergeCell ref="A20:B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</vt:lpstr>
      <vt:lpstr>DATOS</vt:lpstr>
      <vt:lpstr>INGRESOS</vt:lpstr>
      <vt:lpstr>GASTOS</vt:lpstr>
      <vt:lpstr>USALI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May</cp:lastModifiedBy>
  <dcterms:created xsi:type="dcterms:W3CDTF">2019-05-22T18:06:04Z</dcterms:created>
  <dcterms:modified xsi:type="dcterms:W3CDTF">2019-06-04T16:25:56Z</dcterms:modified>
</cp:coreProperties>
</file>